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75" yWindow="105" windowWidth="9735" windowHeight="7320" tabRatio="956" activeTab="9"/>
  </bookViews>
  <sheets>
    <sheet name="Auslosung" sheetId="1" r:id="rId1"/>
    <sheet name="Meldeliste" sheetId="2" r:id="rId2"/>
    <sheet name="Daten" sheetId="3" r:id="rId3"/>
    <sheet name="Samstag Haupt" sheetId="4" r:id="rId4"/>
    <sheet name="Frauen 30" sheetId="5" r:id="rId5"/>
    <sheet name="Frauen 40" sheetId="6" r:id="rId6"/>
    <sheet name="Männer 30" sheetId="7" r:id="rId7"/>
    <sheet name="Männer 40" sheetId="8" r:id="rId8"/>
    <sheet name="Samstag Neben" sheetId="9" r:id="rId9"/>
    <sheet name="Männer 50" sheetId="10" r:id="rId10"/>
    <sheet name="Männer 60" sheetId="11" r:id="rId11"/>
    <sheet name="Sonntag" sheetId="12" r:id="rId12"/>
  </sheets>
  <externalReferences>
    <externalReference r:id="rId15"/>
  </externalReferences>
  <definedNames>
    <definedName name="_xlnm.Print_Area" localSheetId="4">'Frauen 30'!$A$1:$V$60</definedName>
    <definedName name="_xlnm.Print_Area" localSheetId="5">'Frauen 40'!$A$1:$V$60</definedName>
    <definedName name="_xlnm.Print_Area" localSheetId="6">'Männer 30'!$A$1:$V$60</definedName>
    <definedName name="_xlnm.Print_Area" localSheetId="7">'Männer 40'!$A$1:$V$60</definedName>
    <definedName name="_xlnm.Print_Area" localSheetId="9">'Männer 50'!$A$1:$V$60</definedName>
    <definedName name="_xlnm.Print_Area" localSheetId="10">'Männer 60'!$A$1:$V$60</definedName>
    <definedName name="_xlnm.Print_Area" localSheetId="3">'Samstag Haupt'!$B$1:$Y$117</definedName>
    <definedName name="_xlnm.Print_Area" localSheetId="8">'Samstag Neben'!$B$1:$Y$69</definedName>
    <definedName name="_xlnm.Print_Area" localSheetId="11">'Sonntag'!$B$1:$Y$101</definedName>
    <definedName name="_xlnm.Print_Titles" localSheetId="3">'Samstag Haupt'!$1:$21</definedName>
    <definedName name="_xlnm.Print_Titles" localSheetId="8">'Samstag Neben'!$1:$21</definedName>
    <definedName name="_xlnm.Print_Titles" localSheetId="11">'Sonntag'!$1:$21</definedName>
  </definedNames>
  <calcPr fullCalcOnLoad="1"/>
</workbook>
</file>

<file path=xl/comments10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8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11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8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12.xml><?xml version="1.0" encoding="utf-8"?>
<comments xmlns="http://schemas.openxmlformats.org/spreadsheetml/2006/main">
  <authors>
    <author>Ein gesch?tzter Microsoft Office Anwender</author>
  </authors>
  <commentList>
    <comment ref="B2" authorId="0">
      <text>
        <r>
          <rPr>
            <sz val="8"/>
            <rFont val="Tahoma"/>
            <family val="0"/>
          </rPr>
          <t>M30 leerzeichen</t>
        </r>
      </text>
    </comment>
  </commentList>
</comments>
</file>

<file path=xl/comments3.xml><?xml version="1.0" encoding="utf-8"?>
<comments xmlns="http://schemas.openxmlformats.org/spreadsheetml/2006/main">
  <authors>
    <author>Ein gesch?tzter Microsoft Office Anwender</author>
  </authors>
  <commentList>
    <comment ref="A1" authorId="0">
      <text>
        <r>
          <rPr>
            <sz val="8"/>
            <rFont val="Tahoma"/>
            <family val="0"/>
          </rPr>
          <t>Meisterschaft</t>
        </r>
      </text>
    </comment>
    <comment ref="L1" authorId="0">
      <text>
        <r>
          <rPr>
            <sz val="8"/>
            <rFont val="Tahoma"/>
            <family val="0"/>
          </rPr>
          <t>Jahr</t>
        </r>
      </text>
    </comment>
    <comment ref="N3" authorId="0">
      <text>
        <r>
          <rPr>
            <sz val="8"/>
            <rFont val="Tahoma"/>
            <family val="0"/>
          </rPr>
          <t>Bitte in P4 die Anfangszeit für Samstag eintragen. In N14 die für Samstag Nachmittag.</t>
        </r>
      </text>
    </comment>
    <comment ref="O3" authorId="0">
      <text>
        <r>
          <rPr>
            <sz val="8"/>
            <rFont val="Tahoma"/>
            <family val="0"/>
          </rPr>
          <t>In O5 die Spielzeit incl. Pause eingeben</t>
        </r>
      </text>
    </comment>
    <comment ref="P3" authorId="0">
      <text>
        <r>
          <rPr>
            <sz val="8"/>
            <rFont val="Tahoma"/>
            <family val="0"/>
          </rPr>
          <t>Bitte in P4 die Anfangszeit für Sonntag eintragen. In P9 die für die Endrunde (1-6)</t>
        </r>
      </text>
    </comment>
  </commentList>
</comments>
</file>

<file path=xl/comments5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8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8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  <comment ref="M39" authorId="0">
      <text>
        <r>
          <rPr>
            <sz val="8"/>
            <rFont val="Tahoma"/>
            <family val="0"/>
          </rPr>
          <t>Bitte in M40, 42, 44, 46, 48, 50, 52, 54, 56, 58, 60 ein Leerzeichen eingeben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8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8.xml><?xml version="1.0" encoding="utf-8"?>
<comments xmlns="http://schemas.openxmlformats.org/spreadsheetml/2006/main">
  <authors>
    <author>Ein gesch?tzter Microsoft Office Anwender</author>
  </authors>
  <commentList>
    <comment ref="X4" authorId="0">
      <text>
        <r>
          <rPr>
            <sz val="8"/>
            <rFont val="Tahoma"/>
            <family val="0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sharedStrings.xml><?xml version="1.0" encoding="utf-8"?>
<sst xmlns="http://schemas.openxmlformats.org/spreadsheetml/2006/main" count="3789" uniqueCount="200">
  <si>
    <t>Deutsche Prellball Meisterschaften der Seniorinnen und Senioren</t>
  </si>
  <si>
    <t>Männer 30</t>
  </si>
  <si>
    <t>Frauen 40</t>
  </si>
  <si>
    <t>Zeit</t>
  </si>
  <si>
    <t>Gruppe C</t>
  </si>
  <si>
    <t>Gruppe D</t>
  </si>
  <si>
    <t>Gruppe J</t>
  </si>
  <si>
    <t>Gruppe K</t>
  </si>
  <si>
    <t>Männer 40</t>
  </si>
  <si>
    <t>Frauen 30</t>
  </si>
  <si>
    <t>Gruppe E</t>
  </si>
  <si>
    <t>Gruppe F</t>
  </si>
  <si>
    <t>Gruppe G</t>
  </si>
  <si>
    <t>Gruppe H</t>
  </si>
  <si>
    <t>Männer 50</t>
  </si>
  <si>
    <t>Gruppe A</t>
  </si>
  <si>
    <t>Gruppe B</t>
  </si>
  <si>
    <t>Auslosung für DM</t>
  </si>
  <si>
    <t>Bitte Felder mit roten Punkten beachten, nur die Maus auf Feld stellen, Notiz wird angezeigt</t>
  </si>
  <si>
    <t>M30</t>
  </si>
  <si>
    <t>F30</t>
  </si>
  <si>
    <t>M40</t>
  </si>
  <si>
    <t>F40</t>
  </si>
  <si>
    <t>M50</t>
  </si>
  <si>
    <t>Bälle/Punkte</t>
  </si>
  <si>
    <t>Platz</t>
  </si>
  <si>
    <t>Punkte</t>
  </si>
  <si>
    <t>:</t>
  </si>
  <si>
    <t>-</t>
  </si>
  <si>
    <t xml:space="preserve"> </t>
  </si>
  <si>
    <t>E-Spiele</t>
  </si>
  <si>
    <t>Tabelle</t>
  </si>
  <si>
    <t>Vorkreuzspiele</t>
  </si>
  <si>
    <t>c</t>
  </si>
  <si>
    <t>d</t>
  </si>
  <si>
    <t>Kreuzspiele</t>
  </si>
  <si>
    <t>e</t>
  </si>
  <si>
    <t>f</t>
  </si>
  <si>
    <t>Plazierungsspiele 3-6</t>
  </si>
  <si>
    <t>Endspiel</t>
  </si>
  <si>
    <t>Vorrunde</t>
  </si>
  <si>
    <t>Platzierungs-Kreuzspiele</t>
  </si>
  <si>
    <t>a</t>
  </si>
  <si>
    <t>b</t>
  </si>
  <si>
    <t>Platzierungsspiele 7-10</t>
  </si>
  <si>
    <t>Platzierungsspiele 3-6</t>
  </si>
  <si>
    <t>Dg.</t>
  </si>
  <si>
    <t>Nr.</t>
  </si>
  <si>
    <t>Feld</t>
  </si>
  <si>
    <t>Mannschaft</t>
  </si>
  <si>
    <t>L / A</t>
  </si>
  <si>
    <t>HZ</t>
  </si>
  <si>
    <t>Ergebnis</t>
  </si>
  <si>
    <t>_ _ _/_ _ _</t>
  </si>
  <si>
    <t>SO_3</t>
  </si>
  <si>
    <t>SO_5</t>
  </si>
  <si>
    <t>SO_End</t>
  </si>
  <si>
    <t>Plazierungs-Kreuzspiele</t>
  </si>
  <si>
    <t>Plazierungsspiele 7-10</t>
  </si>
  <si>
    <t>1. Süd</t>
  </si>
  <si>
    <t>3. Süd</t>
  </si>
  <si>
    <t>1. Nord</t>
  </si>
  <si>
    <t>3. Nord</t>
  </si>
  <si>
    <t>2. West</t>
  </si>
  <si>
    <t>2. Süd</t>
  </si>
  <si>
    <t>2. Nord</t>
  </si>
  <si>
    <t>Männer 60</t>
  </si>
  <si>
    <t>Gruppe L</t>
  </si>
  <si>
    <t>Gruppe M</t>
  </si>
  <si>
    <t>M60</t>
  </si>
  <si>
    <t>Platz 3</t>
  </si>
  <si>
    <t>Platz 5</t>
  </si>
  <si>
    <t>Kreuz</t>
  </si>
  <si>
    <t>Vorkreuz</t>
  </si>
  <si>
    <t>TSV Burgdorf</t>
  </si>
  <si>
    <t>Nebenhalle</t>
  </si>
  <si>
    <t>Haupthalle</t>
  </si>
  <si>
    <t>1. West</t>
  </si>
  <si>
    <t>3. West</t>
  </si>
  <si>
    <t>M41</t>
  </si>
  <si>
    <t>Sa1-n</t>
  </si>
  <si>
    <t>4. West</t>
  </si>
  <si>
    <t>AUSLOSUNG</t>
  </si>
  <si>
    <t>GRUPPENEINTEILUNG</t>
  </si>
  <si>
    <t>Gruppe 1</t>
  </si>
  <si>
    <t>Gruppe 2</t>
  </si>
  <si>
    <t>RL</t>
  </si>
  <si>
    <t>SA1-h</t>
  </si>
  <si>
    <t>SA1-h1</t>
  </si>
  <si>
    <t>SA1-K</t>
  </si>
  <si>
    <t>SA1-P</t>
  </si>
  <si>
    <t>Platz 9</t>
  </si>
  <si>
    <t>Platz 7</t>
  </si>
  <si>
    <t>SA1-hK</t>
  </si>
  <si>
    <t>SA1-hP</t>
  </si>
  <si>
    <t>Sa1-n1</t>
  </si>
  <si>
    <t>SO-V</t>
  </si>
  <si>
    <t>SO-K</t>
  </si>
  <si>
    <t>SO-P5</t>
  </si>
  <si>
    <t>SO-P3</t>
  </si>
  <si>
    <t>SO-End</t>
  </si>
  <si>
    <t>m6</t>
  </si>
  <si>
    <t>m4</t>
  </si>
  <si>
    <t>f4</t>
  </si>
  <si>
    <t>m5</t>
  </si>
  <si>
    <t>f3</t>
  </si>
  <si>
    <t>m3</t>
  </si>
  <si>
    <t>Kreuz 7</t>
  </si>
  <si>
    <t>Kreuz7 M60</t>
  </si>
  <si>
    <t>Kreuz7 M30</t>
  </si>
  <si>
    <t>Sa1-K</t>
  </si>
  <si>
    <t>Sa1-P</t>
  </si>
  <si>
    <t>Regionalgruppe Nord</t>
  </si>
  <si>
    <t>Regionalgruppe Süd</t>
  </si>
  <si>
    <t>Regionalgruppe West</t>
  </si>
  <si>
    <t>4. Nord</t>
  </si>
  <si>
    <t>4. Süd</t>
  </si>
  <si>
    <t>Neben</t>
  </si>
  <si>
    <t>1. N</t>
  </si>
  <si>
    <t>2. N</t>
  </si>
  <si>
    <t>3. N</t>
  </si>
  <si>
    <t>4. N</t>
  </si>
  <si>
    <t>1. S</t>
  </si>
  <si>
    <t>2. S</t>
  </si>
  <si>
    <t>3. S</t>
  </si>
  <si>
    <t>4. S</t>
  </si>
  <si>
    <t>1. W</t>
  </si>
  <si>
    <t>2. W</t>
  </si>
  <si>
    <t>3. W</t>
  </si>
  <si>
    <t>4. W</t>
  </si>
  <si>
    <t>43.</t>
  </si>
  <si>
    <t>DM Senioren 2006</t>
  </si>
  <si>
    <t>29.04.2006</t>
  </si>
  <si>
    <t>30.04.2006</t>
  </si>
  <si>
    <t>NI</t>
  </si>
  <si>
    <t>1.S</t>
  </si>
  <si>
    <t>1.N</t>
  </si>
  <si>
    <t>2.N</t>
  </si>
  <si>
    <t>3.N</t>
  </si>
  <si>
    <t>4.N</t>
  </si>
  <si>
    <t>2.S</t>
  </si>
  <si>
    <t>3.S</t>
  </si>
  <si>
    <t>4.S</t>
  </si>
  <si>
    <t>4.W</t>
  </si>
  <si>
    <t>2.W</t>
  </si>
  <si>
    <t>3.W</t>
  </si>
  <si>
    <t>1.W</t>
  </si>
  <si>
    <t>Haupt</t>
  </si>
  <si>
    <t>Schulzentrum, Berliner Ring 27</t>
  </si>
  <si>
    <t>Astrid-Lindgren Hauptschule, Grünewaldstr. 1</t>
  </si>
  <si>
    <t>SF Ricklingen</t>
  </si>
  <si>
    <t>TSV Kirchdorf</t>
  </si>
  <si>
    <t>TV Grohn</t>
  </si>
  <si>
    <t>VfL Hannover</t>
  </si>
  <si>
    <t>MTV Eiche Schönebeck</t>
  </si>
  <si>
    <t>VfK 1901 Berlin</t>
  </si>
  <si>
    <t>MTV Wohnste</t>
  </si>
  <si>
    <t>MTV Itzehoe</t>
  </si>
  <si>
    <t>VSK Osterholz Scharmbeck</t>
  </si>
  <si>
    <t>VfL Oldenburg</t>
  </si>
  <si>
    <t>SV Werder Bremen</t>
  </si>
  <si>
    <t>SSC Dodesheide</t>
  </si>
  <si>
    <t>TV Kleefeld</t>
  </si>
  <si>
    <t>SC Wentorf</t>
  </si>
  <si>
    <t>TV Bremen 1875</t>
  </si>
  <si>
    <t>TV Kierdorf</t>
  </si>
  <si>
    <t xml:space="preserve"> TV Richterich</t>
  </si>
  <si>
    <t xml:space="preserve"> TV F.-A. Altenbochum</t>
  </si>
  <si>
    <t xml:space="preserve"> ACT Kassel</t>
  </si>
  <si>
    <t>TV Viersen</t>
  </si>
  <si>
    <t>TuS Ferndorf</t>
  </si>
  <si>
    <t>Haaner TB</t>
  </si>
  <si>
    <t>TG Düren</t>
  </si>
  <si>
    <t>SKG Ober Ramstadt</t>
  </si>
  <si>
    <t>TV Edingen</t>
  </si>
  <si>
    <t>TV Oberschopfheim</t>
  </si>
  <si>
    <t>TSV Ludwigshafen</t>
  </si>
  <si>
    <t>TG Giengen</t>
  </si>
  <si>
    <t>TV Wertheim</t>
  </si>
  <si>
    <t>TSV Krumbach</t>
  </si>
  <si>
    <t>SV Prag Stuttgart</t>
  </si>
  <si>
    <t>SV Weiler</t>
  </si>
  <si>
    <t>VT Contwig</t>
  </si>
  <si>
    <t>TV Offenburg</t>
  </si>
  <si>
    <t>TV Baden</t>
  </si>
  <si>
    <t>TSG Eisenberg</t>
  </si>
  <si>
    <t>TV Höheischweiler</t>
  </si>
  <si>
    <t>TSV Radevormwald</t>
  </si>
  <si>
    <t>Barmer TG</t>
  </si>
  <si>
    <t>Betzdorfer TV</t>
  </si>
  <si>
    <t>TV Berkenbaum</t>
  </si>
  <si>
    <t>TB Hückeswagen</t>
  </si>
  <si>
    <t>TV FA Altenbochum</t>
  </si>
  <si>
    <t>PV Gundernhausen</t>
  </si>
  <si>
    <t>TSV Bayer Leverkusen</t>
  </si>
  <si>
    <t>TV Niederschelden</t>
  </si>
  <si>
    <t>Eiserfelder TV</t>
  </si>
  <si>
    <t>TV Cramberg</t>
  </si>
  <si>
    <t>F</t>
  </si>
  <si>
    <t>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</si>
</sst>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\ mmm\ yy"/>
    <numFmt numFmtId="178" formatCode="d/\ mmm"/>
    <numFmt numFmtId="179" formatCode="d/m/yy\ h:mm"/>
    <numFmt numFmtId="180" formatCode="&quot;DM&quot;#,##0;\-&quot;DM&quot;#,##0"/>
    <numFmt numFmtId="181" formatCode="&quot;DM&quot;#,##0;[Red]\-&quot;DM&quot;#,##0"/>
    <numFmt numFmtId="182" formatCode="&quot;DM&quot;#,##0.00;\-&quot;DM&quot;#,##0.00"/>
    <numFmt numFmtId="183" formatCode="&quot;DM&quot;#,##0.00;[Red]\-&quot;DM&quot;#,##0.00"/>
    <numFmt numFmtId="184" formatCode="h:mm"/>
    <numFmt numFmtId="185" formatCode="h:mm:ss"/>
    <numFmt numFmtId="186" formatCode="0;0"/>
    <numFmt numFmtId="187" formatCode="0;0;"/>
    <numFmt numFmtId="188" formatCode="00"/>
    <numFmt numFmtId="189" formatCode="0.00000"/>
    <numFmt numFmtId="190" formatCode="&quot;DM&quot;#,##0_);\(&quot;DM&quot;#,##0\)"/>
    <numFmt numFmtId="191" formatCode="&quot;DM&quot;#,##0_);[Red]\(&quot;DM&quot;#,##0\)"/>
    <numFmt numFmtId="192" formatCode="&quot;DM&quot;#,##0.00_);\(&quot;DM&quot;#,##0.00\)"/>
    <numFmt numFmtId="193" formatCode="&quot;DM&quot;#,##0.00_);[Red]\(&quot;DM&quot;#,##0.00\)"/>
    <numFmt numFmtId="194" formatCode="_(&quot;DM&quot;* #,##0_);_(&quot;DM&quot;* \(#,##0\);_(&quot;DM&quot;* &quot;-&quot;_);_(@_)"/>
    <numFmt numFmtId="195" formatCode="_(* #,##0_);_(* \(#,##0\);_(* &quot;-&quot;_);_(@_)"/>
    <numFmt numFmtId="196" formatCode="_(&quot;DM&quot;* #,##0.00_);_(&quot;DM&quot;* \(#,##0.00\);_(&quot;DM&quot;* &quot;-&quot;??_);_(@_)"/>
    <numFmt numFmtId="197" formatCode="_(* #,##0.00_);_(* \(#,##0.00\);_(* &quot;-&quot;??_);_(@_)"/>
    <numFmt numFmtId="198" formatCode="h:m"/>
    <numFmt numFmtId="199" formatCode="0.00000000"/>
    <numFmt numFmtId="200" formatCode="0.000000000"/>
    <numFmt numFmtId="201" formatCode="0.0000"/>
    <numFmt numFmtId="202" formatCode="00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System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14"/>
      <name val="Arial"/>
      <family val="0"/>
    </font>
    <font>
      <sz val="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Futura Lt BT"/>
      <family val="2"/>
    </font>
    <font>
      <sz val="8"/>
      <name val="Futura Lt BT"/>
      <family val="2"/>
    </font>
    <font>
      <b/>
      <sz val="8"/>
      <name val="Futura Lt BT"/>
      <family val="2"/>
    </font>
    <font>
      <sz val="6"/>
      <name val="Futura Lt BT"/>
      <family val="2"/>
    </font>
    <font>
      <sz val="10"/>
      <name val="Futura Md BT"/>
      <family val="2"/>
    </font>
    <font>
      <b/>
      <sz val="14"/>
      <name val="Futura Md BT"/>
      <family val="2"/>
    </font>
    <font>
      <sz val="8"/>
      <name val="Futura Md BT"/>
      <family val="2"/>
    </font>
    <font>
      <b/>
      <sz val="8"/>
      <name val="Futura Md BT"/>
      <family val="2"/>
    </font>
    <font>
      <b/>
      <sz val="10"/>
      <name val="Futura Md BT"/>
      <family val="2"/>
    </font>
    <font>
      <sz val="14"/>
      <name val="Futura Md BT"/>
      <family val="2"/>
    </font>
    <font>
      <sz val="14"/>
      <name val="Futura XBlk BT"/>
      <family val="2"/>
    </font>
    <font>
      <sz val="12"/>
      <name val="Futura Md BT"/>
      <family val="2"/>
    </font>
    <font>
      <u val="single"/>
      <sz val="10"/>
      <name val="Futura Md BT"/>
      <family val="2"/>
    </font>
    <font>
      <sz val="16"/>
      <name val="Futura Lt BT"/>
      <family val="2"/>
    </font>
    <font>
      <sz val="16"/>
      <name val="Futura Md BT"/>
      <family val="2"/>
    </font>
    <font>
      <sz val="10"/>
      <color indexed="9"/>
      <name val="Futura Lt BT"/>
      <family val="2"/>
    </font>
    <font>
      <sz val="8"/>
      <color indexed="13"/>
      <name val="Times New Roman"/>
      <family val="1"/>
    </font>
    <font>
      <sz val="6"/>
      <color indexed="9"/>
      <name val="Futura Lt BT"/>
      <family val="2"/>
    </font>
    <font>
      <sz val="7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2" fillId="0" borderId="3" xfId="0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88" fontId="12" fillId="0" borderId="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189" fontId="9" fillId="0" borderId="0" xfId="0" applyNumberFormat="1" applyFont="1" applyAlignment="1">
      <alignment/>
    </xf>
    <xf numFmtId="0" fontId="0" fillId="0" borderId="3" xfId="0" applyBorder="1" applyAlignment="1">
      <alignment vertical="top"/>
    </xf>
    <xf numFmtId="0" fontId="0" fillId="0" borderId="1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88" fontId="0" fillId="0" borderId="4" xfId="0" applyNumberFormat="1" applyFont="1" applyBorder="1" applyAlignment="1">
      <alignment horizontal="center"/>
    </xf>
    <xf numFmtId="188" fontId="0" fillId="0" borderId="5" xfId="0" applyNumberFormat="1" applyFont="1" applyBorder="1" applyAlignment="1">
      <alignment horizontal="center"/>
    </xf>
    <xf numFmtId="0" fontId="15" fillId="0" borderId="12" xfId="0" applyFont="1" applyBorder="1" applyAlignment="1">
      <alignment horizontal="right" vertical="top"/>
    </xf>
    <xf numFmtId="0" fontId="15" fillId="2" borderId="13" xfId="0" applyFont="1" applyFill="1" applyBorder="1" applyAlignment="1">
      <alignment/>
    </xf>
    <xf numFmtId="0" fontId="15" fillId="2" borderId="14" xfId="0" applyFont="1" applyFill="1" applyBorder="1" applyAlignment="1">
      <alignment horizontal="left"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3" xfId="0" applyFont="1" applyFill="1" applyBorder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21" applyFont="1">
      <alignment/>
      <protection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9" fillId="0" borderId="17" xfId="0" applyFont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7" fillId="0" borderId="11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centerContinuous" vertical="top"/>
    </xf>
    <xf numFmtId="0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vertical="center"/>
    </xf>
    <xf numFmtId="0" fontId="15" fillId="0" borderId="0" xfId="0" applyFont="1" applyBorder="1" applyAlignment="1">
      <alignment vertical="top"/>
    </xf>
    <xf numFmtId="0" fontId="0" fillId="0" borderId="9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5" xfId="0" applyFont="1" applyBorder="1" applyAlignment="1">
      <alignment horizontal="right" vertical="top"/>
    </xf>
    <xf numFmtId="0" fontId="15" fillId="0" borderId="14" xfId="0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centerContinuous"/>
    </xf>
    <xf numFmtId="20" fontId="7" fillId="3" borderId="0" xfId="0" applyNumberFormat="1" applyFont="1" applyFill="1" applyAlignment="1">
      <alignment/>
    </xf>
    <xf numFmtId="0" fontId="8" fillId="3" borderId="0" xfId="20" applyFont="1" applyFill="1">
      <alignment/>
      <protection/>
    </xf>
    <xf numFmtId="0" fontId="8" fillId="3" borderId="0" xfId="20" applyFont="1" applyFill="1" applyAlignment="1">
      <alignment horizontal="left"/>
      <protection/>
    </xf>
    <xf numFmtId="0" fontId="7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 quotePrefix="1">
      <alignment/>
      <protection locked="0"/>
    </xf>
    <xf numFmtId="0" fontId="7" fillId="0" borderId="0" xfId="0" applyFont="1" applyFill="1" applyAlignment="1" applyProtection="1" quotePrefix="1">
      <alignment/>
      <protection locked="0"/>
    </xf>
    <xf numFmtId="0" fontId="8" fillId="0" borderId="0" xfId="0" applyFont="1" applyFill="1" applyAlignment="1" applyProtection="1">
      <alignment/>
      <protection locked="0"/>
    </xf>
    <xf numFmtId="20" fontId="7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6" fillId="0" borderId="9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14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20" applyFont="1" applyFill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1" fillId="0" borderId="0" xfId="0" applyNumberFormat="1" applyFont="1" applyFill="1" applyAlignment="1" applyProtection="1">
      <alignment/>
      <protection locked="0"/>
    </xf>
    <xf numFmtId="20" fontId="7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horizontal="center"/>
    </xf>
    <xf numFmtId="0" fontId="8" fillId="3" borderId="0" xfId="0" applyFont="1" applyFill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4" fillId="0" borderId="20" xfId="21" applyFont="1" applyBorder="1" applyAlignment="1">
      <alignment horizontal="center"/>
      <protection/>
    </xf>
    <xf numFmtId="49" fontId="24" fillId="0" borderId="20" xfId="21" applyNumberFormat="1" applyFont="1" applyBorder="1" applyAlignment="1">
      <alignment horizontal="center"/>
      <protection/>
    </xf>
    <xf numFmtId="20" fontId="23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21" applyFont="1" applyBorder="1">
      <alignment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3" xfId="0" applyFont="1" applyBorder="1" applyAlignment="1">
      <alignment/>
    </xf>
    <xf numFmtId="0" fontId="25" fillId="0" borderId="3" xfId="0" applyFont="1" applyBorder="1" applyAlignment="1">
      <alignment/>
    </xf>
    <xf numFmtId="0" fontId="23" fillId="0" borderId="3" xfId="21" applyFont="1" applyBorder="1">
      <alignment/>
      <protection/>
    </xf>
    <xf numFmtId="0" fontId="23" fillId="0" borderId="3" xfId="0" applyFont="1" applyBorder="1" applyAlignment="1">
      <alignment horizontal="center"/>
    </xf>
    <xf numFmtId="49" fontId="23" fillId="0" borderId="3" xfId="0" applyNumberFormat="1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3" xfId="0" applyFont="1" applyFill="1" applyBorder="1" applyAlignment="1">
      <alignment horizontal="center"/>
    </xf>
    <xf numFmtId="20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3" xfId="0" applyFont="1" applyFill="1" applyBorder="1" applyAlignment="1">
      <alignment/>
    </xf>
    <xf numFmtId="0" fontId="23" fillId="0" borderId="3" xfId="21" applyFont="1" applyFill="1" applyBorder="1">
      <alignment/>
      <protection/>
    </xf>
    <xf numFmtId="49" fontId="23" fillId="0" borderId="3" xfId="0" applyNumberFormat="1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49" fontId="26" fillId="0" borderId="0" xfId="0" applyNumberFormat="1" applyFont="1" applyAlignment="1">
      <alignment horizontal="centerContinuous"/>
    </xf>
    <xf numFmtId="0" fontId="28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21" applyFont="1" applyFill="1" applyBorder="1">
      <alignment/>
      <protection/>
    </xf>
    <xf numFmtId="0" fontId="22" fillId="0" borderId="0" xfId="0" applyFont="1" applyAlignment="1">
      <alignment horizontal="left"/>
    </xf>
    <xf numFmtId="0" fontId="29" fillId="0" borderId="20" xfId="21" applyFont="1" applyBorder="1" applyAlignment="1">
      <alignment horizontal="center"/>
      <protection/>
    </xf>
    <xf numFmtId="49" fontId="29" fillId="0" borderId="20" xfId="21" applyNumberFormat="1" applyFont="1" applyBorder="1" applyAlignment="1">
      <alignment horizontal="center"/>
      <protection/>
    </xf>
    <xf numFmtId="0" fontId="30" fillId="0" borderId="0" xfId="0" applyFont="1" applyAlignment="1">
      <alignment vertical="center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Continuous"/>
    </xf>
    <xf numFmtId="49" fontId="31" fillId="0" borderId="0" xfId="0" applyNumberFormat="1" applyFont="1" applyAlignment="1">
      <alignment horizontal="centerContinuous"/>
    </xf>
    <xf numFmtId="0" fontId="2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14" fontId="26" fillId="0" borderId="0" xfId="0" applyNumberFormat="1" applyFont="1" applyAlignment="1">
      <alignment vertical="center"/>
    </xf>
    <xf numFmtId="49" fontId="22" fillId="0" borderId="3" xfId="0" applyNumberFormat="1" applyFont="1" applyBorder="1" applyAlignment="1">
      <alignment/>
    </xf>
    <xf numFmtId="0" fontId="23" fillId="0" borderId="1" xfId="0" applyFont="1" applyBorder="1" applyAlignment="1">
      <alignment/>
    </xf>
    <xf numFmtId="20" fontId="7" fillId="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6" xfId="0" applyFill="1" applyBorder="1" applyAlignment="1">
      <alignment vertical="center"/>
    </xf>
    <xf numFmtId="49" fontId="22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/>
    </xf>
    <xf numFmtId="0" fontId="37" fillId="0" borderId="0" xfId="0" applyFont="1" applyFill="1" applyAlignment="1">
      <alignment/>
    </xf>
    <xf numFmtId="0" fontId="23" fillId="0" borderId="18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7" fillId="3" borderId="0" xfId="0" applyFont="1" applyFill="1" applyAlignment="1">
      <alignment horizontal="center"/>
    </xf>
    <xf numFmtId="0" fontId="38" fillId="3" borderId="0" xfId="0" applyFont="1" applyFill="1" applyAlignment="1" applyProtection="1">
      <alignment horizontal="right"/>
      <protection locked="0"/>
    </xf>
    <xf numFmtId="0" fontId="39" fillId="0" borderId="18" xfId="0" applyFont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8" fillId="3" borderId="0" xfId="0" applyFont="1" applyFill="1" applyAlignment="1" applyProtection="1">
      <alignment horizontal="right"/>
      <protection locked="0"/>
    </xf>
    <xf numFmtId="0" fontId="26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40" fillId="0" borderId="12" xfId="0" applyFont="1" applyBorder="1" applyAlignment="1">
      <alignment horizontal="right" vertical="top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10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Standard_MANNSCHA" xfId="20"/>
    <cellStyle name="Standard_SEN-SA94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ll%20Users\Dokumente\DSM2006%20Burgdorf\PPT\DM_SEN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Meldeliste"/>
      <sheetName val="Daten"/>
      <sheetName val="Samstag Haupt"/>
      <sheetName val="Frauen 30"/>
      <sheetName val="Frauen 40"/>
      <sheetName val="Männer 30"/>
      <sheetName val="Männer 40"/>
      <sheetName val="Samstag Neben"/>
      <sheetName val="Männer 50"/>
      <sheetName val="Männer 60"/>
      <sheetName val="Sonnt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D7" sqref="D7"/>
    </sheetView>
  </sheetViews>
  <sheetFormatPr defaultColWidth="11.421875" defaultRowHeight="12.75"/>
  <cols>
    <col min="8" max="8" width="12.00390625" style="0" customWidth="1"/>
  </cols>
  <sheetData>
    <row r="1" spans="1:8" s="199" customFormat="1" ht="18">
      <c r="A1" s="230" t="s">
        <v>82</v>
      </c>
      <c r="B1" s="230"/>
      <c r="C1" s="230"/>
      <c r="D1" s="230"/>
      <c r="E1" s="230"/>
      <c r="F1" s="230"/>
      <c r="G1" s="230"/>
      <c r="H1" s="230"/>
    </row>
    <row r="2" spans="1:8" s="199" customFormat="1" ht="18">
      <c r="A2" s="230" t="s">
        <v>83</v>
      </c>
      <c r="B2" s="230"/>
      <c r="C2" s="230"/>
      <c r="D2" s="230"/>
      <c r="E2" s="230"/>
      <c r="F2" s="230"/>
      <c r="G2" s="230"/>
      <c r="H2" s="230"/>
    </row>
    <row r="3" spans="1:8" s="199" customFormat="1" ht="18">
      <c r="A3" s="230" t="str">
        <f>Daten!A1&amp;" DEUTSCHE PRELLBALL MEISTERSCHAFTEN DER SENIOREN "&amp;Daten!L1</f>
        <v>43. DEUTSCHE PRELLBALL MEISTERSCHAFTEN DER SENIOREN 2006</v>
      </c>
      <c r="B3" s="230"/>
      <c r="C3" s="230"/>
      <c r="D3" s="230"/>
      <c r="E3" s="230"/>
      <c r="F3" s="230"/>
      <c r="G3" s="230"/>
      <c r="H3" s="230"/>
    </row>
    <row r="5" spans="2:7" ht="15.75">
      <c r="B5" s="231" t="s">
        <v>84</v>
      </c>
      <c r="C5" s="231"/>
      <c r="F5" s="231" t="s">
        <v>85</v>
      </c>
      <c r="G5" s="231"/>
    </row>
    <row r="7" spans="2:7" s="200" customFormat="1" ht="19.5" customHeight="1">
      <c r="B7" s="232" t="str">
        <f>+Daten!I30</f>
        <v>4. Nord</v>
      </c>
      <c r="C7" s="232"/>
      <c r="F7" s="232" t="str">
        <f>+Daten!L30</f>
        <v>3. Nord</v>
      </c>
      <c r="G7" s="232"/>
    </row>
    <row r="8" spans="2:7" s="200" customFormat="1" ht="19.5" customHeight="1">
      <c r="B8" s="232" t="str">
        <f>+Daten!I31</f>
        <v>2. Nord</v>
      </c>
      <c r="C8" s="232"/>
      <c r="F8" s="232" t="str">
        <f>+Daten!L31</f>
        <v>1. Nord</v>
      </c>
      <c r="G8" s="232"/>
    </row>
    <row r="9" spans="2:7" s="200" customFormat="1" ht="19.5" customHeight="1">
      <c r="B9" s="232" t="str">
        <f>+Daten!I32</f>
        <v>3. West</v>
      </c>
      <c r="C9" s="232"/>
      <c r="F9" s="232" t="str">
        <f>+Daten!L32</f>
        <v>3. Süd</v>
      </c>
      <c r="G9" s="232"/>
    </row>
    <row r="10" spans="2:7" s="200" customFormat="1" ht="19.5" customHeight="1">
      <c r="B10" s="232" t="str">
        <f>+Daten!I33</f>
        <v>1. West</v>
      </c>
      <c r="C10" s="232"/>
      <c r="F10" s="232" t="str">
        <f>+Daten!L33</f>
        <v>2. Süd</v>
      </c>
      <c r="G10" s="232"/>
    </row>
    <row r="11" spans="2:7" s="200" customFormat="1" ht="19.5" customHeight="1">
      <c r="B11" s="232" t="str">
        <f>+Daten!I34</f>
        <v>1. Süd</v>
      </c>
      <c r="C11" s="232"/>
      <c r="F11" s="232" t="str">
        <f>+Daten!L34</f>
        <v>2. West</v>
      </c>
      <c r="G11" s="232"/>
    </row>
    <row r="12" s="144" customFormat="1" ht="12.75"/>
    <row r="13" s="144" customFormat="1" ht="12.75"/>
    <row r="14" spans="2:7" s="144" customFormat="1" ht="12.75">
      <c r="B14" s="229" t="str">
        <f>+Daten!I11</f>
        <v>Frauen 30</v>
      </c>
      <c r="C14" s="229"/>
      <c r="F14" s="229" t="str">
        <f>+Daten!L11</f>
        <v>Frauen 30</v>
      </c>
      <c r="G14" s="229"/>
    </row>
    <row r="15" spans="2:7" s="144" customFormat="1" ht="12.75">
      <c r="B15" s="229" t="str">
        <f>+Daten!I12</f>
        <v>Gruppe G</v>
      </c>
      <c r="C15" s="229"/>
      <c r="F15" s="229" t="str">
        <f>+Daten!L12</f>
        <v>Gruppe H</v>
      </c>
      <c r="G15" s="229"/>
    </row>
    <row r="16" spans="2:7" s="144" customFormat="1" ht="12.75">
      <c r="B16" s="228" t="str">
        <f>+Daten!I13</f>
        <v>VfK 1901 Berlin</v>
      </c>
      <c r="C16" s="228"/>
      <c r="F16" s="228" t="str">
        <f>+Daten!L13</f>
        <v>TV Grohn</v>
      </c>
      <c r="G16" s="228"/>
    </row>
    <row r="17" spans="2:7" s="144" customFormat="1" ht="12.75">
      <c r="B17" s="228" t="str">
        <f>+Daten!I14</f>
        <v>MTV Eiche Schönebeck</v>
      </c>
      <c r="C17" s="228"/>
      <c r="F17" s="228" t="str">
        <f>+Daten!L14</f>
        <v>VfL Hannover</v>
      </c>
      <c r="G17" s="228"/>
    </row>
    <row r="18" spans="2:7" s="144" customFormat="1" ht="12.75">
      <c r="B18" s="228" t="str">
        <f>+Daten!I15</f>
        <v>3. West</v>
      </c>
      <c r="C18" s="228"/>
      <c r="F18" s="228" t="str">
        <f>+Daten!L15</f>
        <v>TV Baden</v>
      </c>
      <c r="G18" s="228"/>
    </row>
    <row r="19" spans="2:7" s="144" customFormat="1" ht="12.75">
      <c r="B19" s="228" t="str">
        <f>+Daten!I16</f>
        <v>TSV Radevormwald</v>
      </c>
      <c r="C19" s="228"/>
      <c r="F19" s="228" t="str">
        <f>+Daten!L16</f>
        <v>TV Oberschopfheim</v>
      </c>
      <c r="G19" s="228"/>
    </row>
    <row r="20" spans="2:7" s="144" customFormat="1" ht="12.75">
      <c r="B20" s="228" t="str">
        <f>+Daten!I17</f>
        <v>TV Edingen</v>
      </c>
      <c r="C20" s="228"/>
      <c r="F20" s="228" t="str">
        <f>+Daten!L17</f>
        <v>SKG Ober Ramstadt</v>
      </c>
      <c r="G20" s="228"/>
    </row>
    <row r="21" s="144" customFormat="1" ht="12.75"/>
    <row r="22" spans="2:7" s="144" customFormat="1" ht="12.75">
      <c r="B22" s="229" t="str">
        <f>+Daten!I3</f>
        <v>Frauen 40</v>
      </c>
      <c r="C22" s="229"/>
      <c r="F22" s="229" t="str">
        <f>+Daten!L3</f>
        <v>Frauen 40</v>
      </c>
      <c r="G22" s="229"/>
    </row>
    <row r="23" spans="2:7" s="144" customFormat="1" ht="12.75">
      <c r="B23" s="229" t="str">
        <f>+Daten!I4</f>
        <v>Gruppe J</v>
      </c>
      <c r="C23" s="229"/>
      <c r="F23" s="229" t="str">
        <f>+Daten!L4</f>
        <v>Gruppe K</v>
      </c>
      <c r="G23" s="229"/>
    </row>
    <row r="24" spans="2:7" s="144" customFormat="1" ht="12.75">
      <c r="B24" s="228" t="str">
        <f>+Daten!I5</f>
        <v>VfL Oldenburg</v>
      </c>
      <c r="C24" s="228"/>
      <c r="F24" s="228" t="str">
        <f>+Daten!L5</f>
        <v>VSK Osterholz Scharmbeck</v>
      </c>
      <c r="G24" s="228"/>
    </row>
    <row r="25" spans="2:7" s="144" customFormat="1" ht="12.75">
      <c r="B25" s="228" t="str">
        <f>+Daten!I6</f>
        <v>MTV Itzehoe</v>
      </c>
      <c r="C25" s="228"/>
      <c r="F25" s="228" t="str">
        <f>+Daten!L6</f>
        <v>MTV Wohnste</v>
      </c>
      <c r="G25" s="228"/>
    </row>
    <row r="26" spans="2:7" s="144" customFormat="1" ht="12.75">
      <c r="B26" s="228" t="str">
        <f>+Daten!I7</f>
        <v>TV Berkenbaum</v>
      </c>
      <c r="C26" s="228"/>
      <c r="F26" s="228" t="str">
        <f>+Daten!L7</f>
        <v>TV Wertheim</v>
      </c>
      <c r="G26" s="228"/>
    </row>
    <row r="27" spans="2:7" s="144" customFormat="1" ht="12.75">
      <c r="B27" s="228" t="str">
        <f>+Daten!I8</f>
        <v>Barmer TG</v>
      </c>
      <c r="C27" s="228"/>
      <c r="F27" s="228" t="str">
        <f>+Daten!L8</f>
        <v>TG Giengen</v>
      </c>
      <c r="G27" s="228"/>
    </row>
    <row r="28" spans="2:7" s="144" customFormat="1" ht="12.75">
      <c r="B28" s="228" t="str">
        <f>+Daten!I9</f>
        <v>TSV Ludwigshafen</v>
      </c>
      <c r="C28" s="228"/>
      <c r="F28" s="228" t="str">
        <f>+Daten!L9</f>
        <v>Betzdorfer TV</v>
      </c>
      <c r="G28" s="228"/>
    </row>
    <row r="29" s="144" customFormat="1" ht="3.75" customHeight="1"/>
    <row r="30" spans="2:7" s="144" customFormat="1" ht="12.75">
      <c r="B30" s="229" t="str">
        <f>+Daten!C3</f>
        <v>Männer 30</v>
      </c>
      <c r="C30" s="229"/>
      <c r="F30" s="229" t="str">
        <f>+Daten!F3</f>
        <v>Männer 30</v>
      </c>
      <c r="G30" s="229"/>
    </row>
    <row r="31" spans="2:7" s="144" customFormat="1" ht="12.75">
      <c r="B31" s="229" t="str">
        <f>+Daten!C4</f>
        <v>Gruppe C</v>
      </c>
      <c r="C31" s="229"/>
      <c r="F31" s="229" t="str">
        <f>+Daten!F4</f>
        <v>Gruppe D</v>
      </c>
      <c r="G31" s="229"/>
    </row>
    <row r="32" spans="2:7" s="144" customFormat="1" ht="12.75">
      <c r="B32" s="228" t="str">
        <f>+Daten!C5</f>
        <v>TV Kleefeld</v>
      </c>
      <c r="C32" s="228"/>
      <c r="F32" s="228" t="str">
        <f>+Daten!F5</f>
        <v>SSC Dodesheide</v>
      </c>
      <c r="G32" s="228"/>
    </row>
    <row r="33" spans="2:7" s="144" customFormat="1" ht="12.75">
      <c r="B33" s="228" t="str">
        <f>+Daten!C6</f>
        <v>SV Werder Bremen</v>
      </c>
      <c r="C33" s="228"/>
      <c r="F33" s="228" t="str">
        <f>+Daten!F6</f>
        <v>VfK 1901 Berlin</v>
      </c>
      <c r="G33" s="228"/>
    </row>
    <row r="34" spans="2:7" s="144" customFormat="1" ht="12.75">
      <c r="B34" s="228" t="str">
        <f>+Daten!C7</f>
        <v>TB Hückeswagen</v>
      </c>
      <c r="C34" s="228"/>
      <c r="F34" s="228" t="str">
        <f>+Daten!F7</f>
        <v>SV Weiler</v>
      </c>
      <c r="G34" s="228"/>
    </row>
    <row r="35" spans="2:7" s="144" customFormat="1" ht="12.75">
      <c r="B35" s="228" t="str">
        <f>+Daten!C8</f>
        <v>TV Kierdorf</v>
      </c>
      <c r="C35" s="228"/>
      <c r="F35" s="228" t="str">
        <f>+Daten!F8</f>
        <v>SV Prag Stuttgart</v>
      </c>
      <c r="G35" s="228"/>
    </row>
    <row r="36" spans="2:7" s="144" customFormat="1" ht="12.75">
      <c r="B36" s="228" t="str">
        <f>+Daten!C9</f>
        <v>TSV Krumbach</v>
      </c>
      <c r="C36" s="228"/>
      <c r="F36" s="228" t="str">
        <f>+Daten!F9</f>
        <v>SKG Ober Ramstadt</v>
      </c>
      <c r="G36" s="228"/>
    </row>
    <row r="37" s="144" customFormat="1" ht="3.75" customHeight="1"/>
    <row r="38" spans="2:7" s="144" customFormat="1" ht="12.75">
      <c r="B38" s="229" t="str">
        <f>+Daten!C11</f>
        <v>Männer 40</v>
      </c>
      <c r="C38" s="229"/>
      <c r="F38" s="229" t="str">
        <f>+Daten!F11</f>
        <v>Männer 40</v>
      </c>
      <c r="G38" s="229"/>
    </row>
    <row r="39" spans="2:7" s="144" customFormat="1" ht="12.75">
      <c r="B39" s="229" t="str">
        <f>+Daten!C12</f>
        <v>Gruppe E</v>
      </c>
      <c r="C39" s="229"/>
      <c r="F39" s="229" t="str">
        <f>+Daten!F12</f>
        <v>Gruppe F</v>
      </c>
      <c r="G39" s="229"/>
    </row>
    <row r="40" spans="2:7" s="144" customFormat="1" ht="12.75">
      <c r="B40" s="228" t="str">
        <f>+Daten!C13</f>
        <v>TSV Burgdorf</v>
      </c>
      <c r="C40" s="228"/>
      <c r="F40" s="228" t="str">
        <f>+Daten!F13</f>
        <v>TV Grohn</v>
      </c>
      <c r="G40" s="228"/>
    </row>
    <row r="41" spans="2:7" s="144" customFormat="1" ht="12.75">
      <c r="B41" s="228" t="str">
        <f>+Daten!C14</f>
        <v>TSV Kirchdorf</v>
      </c>
      <c r="C41" s="228"/>
      <c r="F41" s="228" t="str">
        <f>+Daten!F14</f>
        <v>SF Ricklingen</v>
      </c>
      <c r="G41" s="228"/>
    </row>
    <row r="42" spans="2:7" ht="12.75">
      <c r="B42" s="228" t="str">
        <f>+Daten!C15</f>
        <v>PV Gundernhausen</v>
      </c>
      <c r="C42" s="228"/>
      <c r="F42" s="228" t="str">
        <f>+Daten!F15</f>
        <v>TV Offenburg</v>
      </c>
      <c r="G42" s="228"/>
    </row>
    <row r="43" spans="2:7" ht="12.75">
      <c r="B43" s="228" t="str">
        <f>+Daten!C16</f>
        <v>TV Berkenbaum</v>
      </c>
      <c r="C43" s="228"/>
      <c r="F43" s="228" t="str">
        <f>+Daten!F16</f>
        <v>VT Contwig</v>
      </c>
      <c r="G43" s="228"/>
    </row>
    <row r="44" spans="2:7" ht="12.75">
      <c r="B44" s="228" t="str">
        <f>+Daten!C17</f>
        <v>TV Wertheim</v>
      </c>
      <c r="C44" s="228"/>
      <c r="F44" s="228" t="str">
        <f>+Daten!F17</f>
        <v>TV FA Altenbochum</v>
      </c>
      <c r="G44" s="228"/>
    </row>
    <row r="45" ht="3.75" customHeight="1"/>
    <row r="46" spans="2:7" ht="12.75">
      <c r="B46" s="229" t="str">
        <f>+Daten!C19</f>
        <v>Männer 50</v>
      </c>
      <c r="C46" s="229"/>
      <c r="F46" s="229" t="str">
        <f>+Daten!F19</f>
        <v>Männer 50</v>
      </c>
      <c r="G46" s="229"/>
    </row>
    <row r="47" spans="2:7" ht="12.75">
      <c r="B47" s="229" t="str">
        <f>+Daten!C20</f>
        <v>Gruppe A</v>
      </c>
      <c r="C47" s="229"/>
      <c r="F47" s="229" t="str">
        <f>+Daten!F20</f>
        <v>Gruppe B</v>
      </c>
      <c r="G47" s="229"/>
    </row>
    <row r="48" spans="2:7" ht="12.75">
      <c r="B48" s="228" t="str">
        <f>+Daten!C21</f>
        <v>SC Wentorf</v>
      </c>
      <c r="C48" s="228"/>
      <c r="F48" s="228" t="str">
        <f>+Daten!F21</f>
        <v>TSV Kirchdorf</v>
      </c>
      <c r="G48" s="228"/>
    </row>
    <row r="49" spans="2:7" ht="12.75">
      <c r="B49" s="228" t="str">
        <f>+Daten!C22</f>
        <v>SF Ricklingen</v>
      </c>
      <c r="C49" s="228"/>
      <c r="F49" s="228" t="str">
        <f>+Daten!F22</f>
        <v>SV Werder Bremen</v>
      </c>
      <c r="G49" s="228"/>
    </row>
    <row r="50" spans="2:7" ht="12.75">
      <c r="B50" s="228" t="str">
        <f>+Daten!C23</f>
        <v>Haaner TB</v>
      </c>
      <c r="C50" s="228"/>
      <c r="F50" s="228" t="str">
        <f>+Daten!F23</f>
        <v>TV Edingen</v>
      </c>
      <c r="G50" s="228"/>
    </row>
    <row r="51" spans="2:7" ht="12.75">
      <c r="B51" s="228" t="str">
        <f>+Daten!C24</f>
        <v>TV Viersen</v>
      </c>
      <c r="C51" s="228"/>
      <c r="F51" s="228" t="str">
        <f>+Daten!F24</f>
        <v>VT Contwig</v>
      </c>
      <c r="G51" s="228"/>
    </row>
    <row r="52" spans="2:7" ht="12.75">
      <c r="B52" s="228" t="str">
        <f>+Daten!C25</f>
        <v>TSV Krumbach</v>
      </c>
      <c r="C52" s="228"/>
      <c r="F52" s="228" t="str">
        <f>+Daten!F25</f>
        <v>TuS Ferndorf</v>
      </c>
      <c r="G52" s="228"/>
    </row>
    <row r="53" ht="3.75" customHeight="1"/>
    <row r="54" spans="2:7" ht="12.75">
      <c r="B54" s="229" t="str">
        <f>+Daten!I19</f>
        <v>Männer 60</v>
      </c>
      <c r="C54" s="229"/>
      <c r="F54" s="229" t="str">
        <f>+Daten!L19</f>
        <v>Männer 60</v>
      </c>
      <c r="G54" s="229"/>
    </row>
    <row r="55" spans="2:7" ht="12.75">
      <c r="B55" s="229" t="str">
        <f>+Daten!I20</f>
        <v>Gruppe L</v>
      </c>
      <c r="C55" s="229"/>
      <c r="F55" s="229" t="str">
        <f>+Daten!L20</f>
        <v>Gruppe M</v>
      </c>
      <c r="G55" s="229"/>
    </row>
    <row r="56" spans="2:7" ht="12.75">
      <c r="B56" s="228" t="str">
        <f>+Daten!I21</f>
        <v>VfL Oldenburg</v>
      </c>
      <c r="C56" s="228"/>
      <c r="F56" s="228" t="str">
        <f>+Daten!L21</f>
        <v>TSV Burgdorf</v>
      </c>
      <c r="G56" s="228"/>
    </row>
    <row r="57" spans="2:7" ht="12.75">
      <c r="B57" s="228" t="str">
        <f>+Daten!I22</f>
        <v>TV Bremen 1875</v>
      </c>
      <c r="C57" s="228"/>
      <c r="F57" s="228" t="str">
        <f>+Daten!L22</f>
        <v>SV Werder Bremen</v>
      </c>
      <c r="G57" s="228"/>
    </row>
    <row r="58" spans="2:7" ht="12.75">
      <c r="B58" s="228" t="str">
        <f>+Daten!I23</f>
        <v>Eiserfelder TV</v>
      </c>
      <c r="C58" s="228"/>
      <c r="F58" s="228" t="str">
        <f>+Daten!L23</f>
        <v>TV Cramberg</v>
      </c>
      <c r="G58" s="228"/>
    </row>
    <row r="59" spans="2:7" ht="12.75">
      <c r="B59" s="228" t="str">
        <f>+Daten!I24</f>
        <v>TSV Bayer Leverkusen</v>
      </c>
      <c r="C59" s="228"/>
      <c r="F59" s="228" t="str">
        <f>+Daten!L24</f>
        <v>TV Höheischweiler</v>
      </c>
      <c r="G59" s="228"/>
    </row>
    <row r="60" spans="2:7" ht="12.75">
      <c r="B60" s="228" t="str">
        <f>+Daten!I25</f>
        <v>TSG Eisenberg</v>
      </c>
      <c r="C60" s="228"/>
      <c r="F60" s="228" t="str">
        <f>+Daten!L25</f>
        <v>TV Niederschelden</v>
      </c>
      <c r="G60" s="228"/>
    </row>
  </sheetData>
  <mergeCells count="99">
    <mergeCell ref="B11:C11"/>
    <mergeCell ref="F7:G7"/>
    <mergeCell ref="F8:G8"/>
    <mergeCell ref="F9:G9"/>
    <mergeCell ref="F10:G10"/>
    <mergeCell ref="F11:G11"/>
    <mergeCell ref="B7:C7"/>
    <mergeCell ref="B8:C8"/>
    <mergeCell ref="B9:C9"/>
    <mergeCell ref="B10:C10"/>
    <mergeCell ref="A1:H1"/>
    <mergeCell ref="A2:H2"/>
    <mergeCell ref="A3:H3"/>
    <mergeCell ref="B5:C5"/>
    <mergeCell ref="F5:G5"/>
    <mergeCell ref="B15:C15"/>
    <mergeCell ref="B14:C14"/>
    <mergeCell ref="B16:C16"/>
    <mergeCell ref="B17:C17"/>
    <mergeCell ref="B18:C18"/>
    <mergeCell ref="B19:C19"/>
    <mergeCell ref="B20:C20"/>
    <mergeCell ref="F14:G14"/>
    <mergeCell ref="F15:G15"/>
    <mergeCell ref="F16:G16"/>
    <mergeCell ref="F17:G17"/>
    <mergeCell ref="F18:G18"/>
    <mergeCell ref="F19:G19"/>
    <mergeCell ref="F20:G20"/>
    <mergeCell ref="B22:C22"/>
    <mergeCell ref="B23:C23"/>
    <mergeCell ref="B24:C24"/>
    <mergeCell ref="B25:C25"/>
    <mergeCell ref="B26:C26"/>
    <mergeCell ref="B27:C27"/>
    <mergeCell ref="B28:C28"/>
    <mergeCell ref="F22:G22"/>
    <mergeCell ref="F23:G23"/>
    <mergeCell ref="F24:G24"/>
    <mergeCell ref="F25:G25"/>
    <mergeCell ref="F26:G26"/>
    <mergeCell ref="F27:G27"/>
    <mergeCell ref="F28:G28"/>
    <mergeCell ref="B30:C30"/>
    <mergeCell ref="B31:C31"/>
    <mergeCell ref="B32:C32"/>
    <mergeCell ref="B33:C33"/>
    <mergeCell ref="B34:C34"/>
    <mergeCell ref="B35:C35"/>
    <mergeCell ref="B36:C36"/>
    <mergeCell ref="F30:G30"/>
    <mergeCell ref="F31:G31"/>
    <mergeCell ref="F32:G32"/>
    <mergeCell ref="F33:G33"/>
    <mergeCell ref="F34:G34"/>
    <mergeCell ref="F35:G35"/>
    <mergeCell ref="F36:G36"/>
    <mergeCell ref="B38:C38"/>
    <mergeCell ref="B39:C39"/>
    <mergeCell ref="B40:C40"/>
    <mergeCell ref="B41:C41"/>
    <mergeCell ref="B42:C42"/>
    <mergeCell ref="B43:C43"/>
    <mergeCell ref="B44:C44"/>
    <mergeCell ref="F38:G38"/>
    <mergeCell ref="F39:G39"/>
    <mergeCell ref="F40:G40"/>
    <mergeCell ref="F41:G41"/>
    <mergeCell ref="F42:G42"/>
    <mergeCell ref="F43:G43"/>
    <mergeCell ref="F44:G44"/>
    <mergeCell ref="B46:C46"/>
    <mergeCell ref="B47:C47"/>
    <mergeCell ref="B48:C48"/>
    <mergeCell ref="B49:C49"/>
    <mergeCell ref="B50:C50"/>
    <mergeCell ref="B51:C51"/>
    <mergeCell ref="B52:C52"/>
    <mergeCell ref="B54:C54"/>
    <mergeCell ref="B55:C55"/>
    <mergeCell ref="B56:C56"/>
    <mergeCell ref="B57:C57"/>
    <mergeCell ref="B58:C58"/>
    <mergeCell ref="B59:C59"/>
    <mergeCell ref="B60:C60"/>
    <mergeCell ref="F46:G46"/>
    <mergeCell ref="F47:G47"/>
    <mergeCell ref="F48:G48"/>
    <mergeCell ref="F49:G49"/>
    <mergeCell ref="F50:G50"/>
    <mergeCell ref="F51:G51"/>
    <mergeCell ref="F52:G52"/>
    <mergeCell ref="F54:G54"/>
    <mergeCell ref="F59:G59"/>
    <mergeCell ref="F60:G60"/>
    <mergeCell ref="F55:G55"/>
    <mergeCell ref="F56:G56"/>
    <mergeCell ref="F57:G57"/>
    <mergeCell ref="F58:G58"/>
  </mergeCells>
  <printOptions vertic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workbookViewId="0" topLeftCell="A20">
      <selection activeCell="B2" sqref="B2:V60"/>
    </sheetView>
  </sheetViews>
  <sheetFormatPr defaultColWidth="11.421875" defaultRowHeight="12.75" outlineLevelRow="1" outlineLevelCol="1"/>
  <cols>
    <col min="1" max="1" width="2.00390625" style="0" customWidth="1"/>
    <col min="2" max="2" width="6.8515625" style="0" customWidth="1"/>
    <col min="3" max="3" width="24.7109375" style="0" customWidth="1"/>
    <col min="4" max="4" width="4.00390625" style="0" customWidth="1"/>
    <col min="5" max="5" width="1.7109375" style="0" customWidth="1"/>
    <col min="6" max="7" width="4.00390625" style="0" customWidth="1"/>
    <col min="8" max="8" width="1.7109375" style="0" customWidth="1"/>
    <col min="9" max="10" width="4.00390625" style="0" customWidth="1"/>
    <col min="11" max="11" width="1.7109375" style="0" customWidth="1"/>
    <col min="12" max="13" width="4.00390625" style="0" customWidth="1"/>
    <col min="14" max="14" width="1.7109375" style="0" customWidth="1"/>
    <col min="15" max="16" width="4.00390625" style="0" customWidth="1"/>
    <col min="17" max="17" width="1.7109375" style="0" customWidth="1"/>
    <col min="18" max="19" width="4.00390625" style="0" customWidth="1"/>
    <col min="20" max="20" width="1.7109375" style="0" customWidth="1"/>
    <col min="21" max="21" width="4.00390625" style="0" customWidth="1"/>
    <col min="22" max="22" width="4.7109375" style="0" customWidth="1"/>
    <col min="23" max="23" width="6.57421875" style="0" hidden="1" customWidth="1" outlineLevel="1"/>
    <col min="24" max="24" width="4.00390625" style="0" customWidth="1" collapsed="1"/>
    <col min="25" max="25" width="4.8515625" style="0" customWidth="1"/>
    <col min="26" max="26" width="1.7109375" style="0" customWidth="1"/>
    <col min="27" max="28" width="4.00390625" style="0" customWidth="1"/>
    <col min="29" max="29" width="1.7109375" style="0" customWidth="1"/>
    <col min="30" max="30" width="4.00390625" style="0" customWidth="1"/>
  </cols>
  <sheetData>
    <row r="1" spans="1:22" ht="24.75" customHeight="1">
      <c r="A1" s="88"/>
      <c r="B1" s="89" t="str">
        <f>Daten!A1&amp;" "&amp;Daten!B1&amp;" "&amp;Daten!L1</f>
        <v>43. Deutsche Prellball Meisterschaften der Seniorinnen und Senioren 2006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21.75" customHeight="1">
      <c r="B2" s="125" t="s">
        <v>40</v>
      </c>
      <c r="C2" s="126"/>
      <c r="D2" s="57"/>
      <c r="E2" s="54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25" t="str">
        <f>+Daten!C19</f>
        <v>Männer 50</v>
      </c>
      <c r="S2" s="127"/>
      <c r="T2" s="127"/>
      <c r="U2" s="127"/>
      <c r="V2" s="126"/>
    </row>
    <row r="3" spans="2:22" ht="6.75" customHeight="1">
      <c r="B3" s="55"/>
      <c r="C3" s="56"/>
      <c r="D3" s="57"/>
      <c r="E3" s="54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6"/>
      <c r="V3" s="56"/>
    </row>
    <row r="4" spans="2:29" ht="12.75" customHeight="1">
      <c r="B4" s="128"/>
      <c r="C4" s="129" t="str">
        <f>+Daten!C20</f>
        <v>Gruppe A</v>
      </c>
      <c r="D4" s="47"/>
      <c r="E4" s="48" t="str">
        <f>+C5</f>
        <v>SC Wentorf</v>
      </c>
      <c r="F4" s="49"/>
      <c r="G4" s="19"/>
      <c r="H4" s="48" t="str">
        <f>+C7</f>
        <v>SF Ricklingen</v>
      </c>
      <c r="I4" s="20"/>
      <c r="J4" s="19"/>
      <c r="K4" s="48" t="str">
        <f>+C9</f>
        <v>Haaner TB</v>
      </c>
      <c r="L4" s="20"/>
      <c r="M4" s="19"/>
      <c r="N4" s="48" t="str">
        <f>+C11</f>
        <v>TV Viersen</v>
      </c>
      <c r="O4" s="20"/>
      <c r="P4" s="19"/>
      <c r="Q4" s="50" t="str">
        <f>+C13</f>
        <v>TSV Krumbach</v>
      </c>
      <c r="R4" s="20"/>
      <c r="S4" s="19"/>
      <c r="T4" s="51" t="s">
        <v>24</v>
      </c>
      <c r="U4" s="20"/>
      <c r="V4" s="52" t="s">
        <v>25</v>
      </c>
      <c r="AC4" s="61"/>
    </row>
    <row r="5" spans="2:28" ht="15" customHeight="1">
      <c r="B5" s="99" t="str">
        <f>IF(Daten!B21="","",Daten!B21)</f>
        <v>4.N</v>
      </c>
      <c r="C5" s="27" t="str">
        <f>IF(Daten!C21="","",Daten!C21)</f>
        <v>SC Wentorf</v>
      </c>
      <c r="D5" s="91"/>
      <c r="E5" s="92"/>
      <c r="F5" s="93"/>
      <c r="G5" s="30">
        <f>IF('Samstag Neben'!$Q24="","",'Samstag Neben'!$Q24)</f>
        <v>30</v>
      </c>
      <c r="H5" s="9" t="s">
        <v>27</v>
      </c>
      <c r="I5" s="31">
        <f>IF('Samstag Neben'!$S24="","",'Samstag Neben'!$S24)</f>
        <v>50</v>
      </c>
      <c r="J5" s="30">
        <f>IF('Samstag Neben'!$Q44="","",'Samstag Neben'!$Q44)</f>
        <v>31</v>
      </c>
      <c r="K5" s="9" t="s">
        <v>27</v>
      </c>
      <c r="L5" s="31">
        <f>IF('Samstag Neben'!$S44="","",'Samstag Neben'!$S44)</f>
        <v>35</v>
      </c>
      <c r="M5" s="30">
        <f>IF('Samstag Neben'!$Q56="","",'Samstag Neben'!$Q56)</f>
        <v>31</v>
      </c>
      <c r="N5" s="9" t="s">
        <v>27</v>
      </c>
      <c r="O5" s="31">
        <f>IF('Samstag Neben'!$S56="","",'Samstag Neben'!$S56)</f>
        <v>46</v>
      </c>
      <c r="P5" s="30">
        <f>IF('Samstag Neben'!$Q32="","",'Samstag Neben'!$Q32)</f>
        <v>25</v>
      </c>
      <c r="Q5" s="9" t="s">
        <v>27</v>
      </c>
      <c r="R5" s="31">
        <f>IF('Samstag Neben'!$S32="","",'Samstag Neben'!$S32)</f>
        <v>41</v>
      </c>
      <c r="S5" s="30">
        <f>IF(X6="","",SUM(D5,G5,J5,M5,P5))</f>
        <v>117</v>
      </c>
      <c r="T5" s="9" t="s">
        <v>27</v>
      </c>
      <c r="U5" s="31">
        <f>IF(X6="","",SUM(F5,I5,L5,O5,R5))</f>
        <v>172</v>
      </c>
      <c r="V5" s="26">
        <f>IF(X5="","",RANK(W6,($W$6,$W$8,$W$10,$W$12,$W$14),0))</f>
        <v>5</v>
      </c>
      <c r="X5" s="11" t="s">
        <v>29</v>
      </c>
      <c r="AA5">
        <v>1</v>
      </c>
      <c r="AB5" s="90" t="str">
        <f>IF(V5="","",IF($V$5=1,$C$5,IF($V$7=1,$C$7,IF($V$9=1,$C$9,IF($V$11=1,$C$11,IF($V$13=1,$C$13,0))))))</f>
        <v>TV Viersen</v>
      </c>
    </row>
    <row r="6" spans="2:28" ht="10.5" customHeight="1">
      <c r="B6" s="100"/>
      <c r="C6" s="28"/>
      <c r="D6" s="94"/>
      <c r="E6" s="95"/>
      <c r="F6" s="96"/>
      <c r="G6" s="13">
        <f>IF(G5="","",IF(G5&gt;I5,2,IF(G5&lt;I5,0,1)))</f>
        <v>0</v>
      </c>
      <c r="H6" s="7" t="s">
        <v>28</v>
      </c>
      <c r="I6" s="14">
        <f>IF(I5="","",IF(I5&gt;G5,2,IF(I5&lt;G5,0,1)))</f>
        <v>2</v>
      </c>
      <c r="J6" s="13">
        <f>IF(J5="","",IF(J5&gt;L5,2,IF(J5&lt;L5,0,1)))</f>
        <v>0</v>
      </c>
      <c r="K6" s="7" t="s">
        <v>28</v>
      </c>
      <c r="L6" s="14">
        <f>IF(L5="","",IF(L5&gt;J5,2,IF(L5&lt;J5,0,1)))</f>
        <v>2</v>
      </c>
      <c r="M6" s="13">
        <f>IF(M5="","",IF(M5&gt;O5,2,IF(M5&lt;O5,0,1)))</f>
        <v>0</v>
      </c>
      <c r="N6" s="7" t="s">
        <v>28</v>
      </c>
      <c r="O6" s="14">
        <f>IF(O5="","",IF(O5&gt;M5,2,IF(O5&lt;M5,0,1)))</f>
        <v>2</v>
      </c>
      <c r="P6" s="13">
        <f>IF(P5="","",IF(P5&gt;R5,2,IF(P5&lt;R5,0,1)))</f>
        <v>0</v>
      </c>
      <c r="Q6" s="7" t="s">
        <v>28</v>
      </c>
      <c r="R6" s="14">
        <f>IF(R5="","",IF(R5&gt;P5,2,IF(R5&lt;P5,0,1)))</f>
        <v>2</v>
      </c>
      <c r="S6" s="13">
        <f>IF(X6="","",SUM(D6,G6,J6,M6,P6))</f>
        <v>0</v>
      </c>
      <c r="T6" s="7" t="s">
        <v>28</v>
      </c>
      <c r="U6" s="14">
        <f>IF(X6="","",SUM(F6,I6,L6,O6,R6))</f>
        <v>8</v>
      </c>
      <c r="V6" s="15"/>
      <c r="W6" s="16">
        <f>+(S6-U6)+S5/U5+S6</f>
        <v>-7.319767441860465</v>
      </c>
      <c r="X6" s="11" t="s">
        <v>29</v>
      </c>
      <c r="AB6" s="90"/>
    </row>
    <row r="7" spans="2:28" ht="15" customHeight="1">
      <c r="B7" s="46" t="str">
        <f>IF(Daten!B22="","",Daten!B22)</f>
        <v>2.N</v>
      </c>
      <c r="C7" s="27" t="str">
        <f>IF(Daten!C22="","",Daten!C22)</f>
        <v>SF Ricklingen</v>
      </c>
      <c r="D7" s="30">
        <f>IF(I5="","",I5)</f>
        <v>50</v>
      </c>
      <c r="E7" s="9" t="s">
        <v>27</v>
      </c>
      <c r="F7" s="31">
        <f>IF(G5="","",G5)</f>
        <v>30</v>
      </c>
      <c r="G7" s="91"/>
      <c r="H7" s="92"/>
      <c r="I7" s="93"/>
      <c r="J7" s="30">
        <f>IF('Samstag Neben'!$Q36="","",'Samstag Neben'!$Q36)</f>
        <v>33</v>
      </c>
      <c r="K7" s="9" t="s">
        <v>27</v>
      </c>
      <c r="L7" s="31">
        <f>IF('Samstag Neben'!$S36="","",'Samstag Neben'!$S36)</f>
        <v>26</v>
      </c>
      <c r="M7" s="30">
        <f>IF('Samstag Neben'!$Q48="","",'Samstag Neben'!$Q48)</f>
        <v>31</v>
      </c>
      <c r="N7" s="9" t="s">
        <v>27</v>
      </c>
      <c r="O7" s="31">
        <f>IF('Samstag Neben'!$S48="","",'Samstag Neben'!$S48)</f>
        <v>36</v>
      </c>
      <c r="P7" s="30">
        <f>IF('Samstag Neben'!$Q60="","",'Samstag Neben'!$Q60)</f>
        <v>41</v>
      </c>
      <c r="Q7" s="9" t="s">
        <v>27</v>
      </c>
      <c r="R7" s="31">
        <f>IF('Samstag Neben'!$S60="","",'Samstag Neben'!$S60)</f>
        <v>24</v>
      </c>
      <c r="S7" s="8">
        <f>IF(X8="","",SUM(D7,G7,J7,M7,P7))</f>
        <v>155</v>
      </c>
      <c r="T7" s="9" t="s">
        <v>27</v>
      </c>
      <c r="U7" s="10">
        <f>IF(X8="","",SUM(F7,I7,L7,O7,R7))</f>
        <v>116</v>
      </c>
      <c r="V7" s="6">
        <f>IF(X7="","",RANK(W8,($W$6,$W$8,$W$10,$W$12,$W$14),0))</f>
        <v>2</v>
      </c>
      <c r="X7" s="11" t="s">
        <v>29</v>
      </c>
      <c r="AA7">
        <v>2</v>
      </c>
      <c r="AB7" s="90" t="str">
        <f>IF(V7="","",IF($V$5=2,$C$5,IF($V$7=2,$C$7,IF($V$9=2,$C$9,IF($V$11=2,$C$11,IF($V$13=2,$C$13,0))))))</f>
        <v>SF Ricklingen</v>
      </c>
    </row>
    <row r="8" spans="2:28" ht="10.5" customHeight="1">
      <c r="B8" s="100"/>
      <c r="C8" s="28"/>
      <c r="D8" s="13">
        <f>IF(D7="","",IF(D7&gt;F7,2,IF(D7&lt;F7,0,1)))</f>
        <v>2</v>
      </c>
      <c r="E8" s="7" t="s">
        <v>28</v>
      </c>
      <c r="F8" s="14">
        <f>IF(F7="","",IF(F7&gt;D7,2,IF(F7&lt;D7,0,1)))</f>
        <v>0</v>
      </c>
      <c r="G8" s="94"/>
      <c r="H8" s="95"/>
      <c r="I8" s="96"/>
      <c r="J8" s="13">
        <f>IF(J7="","",IF(J7&gt;L7,2,IF(J7&lt;L7,0,1)))</f>
        <v>2</v>
      </c>
      <c r="K8" s="7" t="s">
        <v>28</v>
      </c>
      <c r="L8" s="14">
        <f>IF(L7="","",IF(L7&gt;J7,2,IF(L7&lt;J7,0,1)))</f>
        <v>0</v>
      </c>
      <c r="M8" s="13">
        <f>IF(M7="","",IF(M7&gt;O7,2,IF(M7&lt;O7,0,1)))</f>
        <v>0</v>
      </c>
      <c r="N8" s="7" t="s">
        <v>28</v>
      </c>
      <c r="O8" s="14">
        <f>IF(O7="","",IF(O7&gt;M7,2,IF(O7&lt;M7,0,1)))</f>
        <v>2</v>
      </c>
      <c r="P8" s="13">
        <f>IF(P7="","",IF(P7&gt;R7,2,IF(P7&lt;R7,0,1)))</f>
        <v>2</v>
      </c>
      <c r="Q8" s="7" t="s">
        <v>28</v>
      </c>
      <c r="R8" s="14">
        <f>IF(R7="","",IF(R7&gt;P7,2,IF(R7&lt;P7,0,1)))</f>
        <v>0</v>
      </c>
      <c r="S8" s="13">
        <f>IF(X8="","",SUM(D8,G8,J8,M8,P8))</f>
        <v>6</v>
      </c>
      <c r="T8" s="7" t="s">
        <v>28</v>
      </c>
      <c r="U8" s="14">
        <f>IF(X8="","",SUM(F8,I8,L8,O8,R8))</f>
        <v>2</v>
      </c>
      <c r="V8" s="15"/>
      <c r="W8" s="16">
        <f>+(S8-U8)+S7/U7+S8</f>
        <v>11.336206896551724</v>
      </c>
      <c r="X8" s="11" t="s">
        <v>29</v>
      </c>
      <c r="AB8" s="90"/>
    </row>
    <row r="9" spans="2:28" ht="15" customHeight="1">
      <c r="B9" s="46" t="str">
        <f>IF(Daten!B23="","",Daten!B23)</f>
        <v>3.W</v>
      </c>
      <c r="C9" s="27" t="str">
        <f>IF(Daten!C23="","",Daten!C23)</f>
        <v>Haaner TB</v>
      </c>
      <c r="D9" s="30">
        <f>IF(L5="","",L5)</f>
        <v>35</v>
      </c>
      <c r="E9" s="9" t="s">
        <v>27</v>
      </c>
      <c r="F9" s="31">
        <f>IF(J5="","",J5)</f>
        <v>31</v>
      </c>
      <c r="G9" s="30">
        <f>IF(L7="","",L7)</f>
        <v>26</v>
      </c>
      <c r="H9" s="9" t="s">
        <v>27</v>
      </c>
      <c r="I9" s="31">
        <f>IF(J7="","",J7)</f>
        <v>33</v>
      </c>
      <c r="J9" s="91"/>
      <c r="K9" s="92"/>
      <c r="L9" s="93"/>
      <c r="M9" s="30">
        <f>IF('Samstag Neben'!$Q28="","",'Samstag Neben'!$Q28)</f>
        <v>32</v>
      </c>
      <c r="N9" s="9" t="s">
        <v>27</v>
      </c>
      <c r="O9" s="31">
        <f>IF('Samstag Neben'!$S28="","",'Samstag Neben'!$S28)</f>
        <v>40</v>
      </c>
      <c r="P9" s="30">
        <f>IF('Samstag Neben'!$Q52="","",'Samstag Neben'!$Q52)</f>
        <v>29</v>
      </c>
      <c r="Q9" s="9" t="s">
        <v>27</v>
      </c>
      <c r="R9" s="31">
        <f>IF('Samstag Neben'!$S52="","",'Samstag Neben'!$S52)</f>
        <v>41</v>
      </c>
      <c r="S9" s="8">
        <f>IF(X10="","",SUM(D9,G9,J9,M9,P9))</f>
        <v>122</v>
      </c>
      <c r="T9" s="9" t="s">
        <v>27</v>
      </c>
      <c r="U9" s="10">
        <f>IF(X10="","",SUM(F9,I9,L9,O9,R9))</f>
        <v>145</v>
      </c>
      <c r="V9" s="6">
        <f>IF(X9="","",RANK(W10,($W$6,$W$8,$W$10,$W$12,$W$14),0))</f>
        <v>4</v>
      </c>
      <c r="X9" s="11" t="s">
        <v>29</v>
      </c>
      <c r="AA9">
        <v>3</v>
      </c>
      <c r="AB9" s="90" t="str">
        <f>IF(V9="","",IF($V$5=3,$C$5,IF($V$7=3,$C$7,IF($V$9=3,$C$9,IF($V$11=3,$C$11,IF($V$13=3,$C$13,0))))))</f>
        <v>TSV Krumbach</v>
      </c>
    </row>
    <row r="10" spans="2:28" ht="10.5" customHeight="1">
      <c r="B10" s="101"/>
      <c r="C10" s="28"/>
      <c r="D10" s="13">
        <f>IF(D9="","",IF(D9&gt;F9,2,IF(D9&lt;F9,0,1)))</f>
        <v>2</v>
      </c>
      <c r="E10" s="7" t="s">
        <v>28</v>
      </c>
      <c r="F10" s="14">
        <f>IF(F9="","",IF(F9&gt;D9,2,IF(F9&lt;D9,0,1)))</f>
        <v>0</v>
      </c>
      <c r="G10" s="13">
        <f>IF(G9="","",IF(G9&gt;I9,2,IF(G9&lt;I9,0,1)))</f>
        <v>0</v>
      </c>
      <c r="H10" s="7" t="s">
        <v>28</v>
      </c>
      <c r="I10" s="14">
        <f>IF(I9="","",IF(I9&gt;G9,2,IF(I9&lt;G9,0,1)))</f>
        <v>2</v>
      </c>
      <c r="J10" s="94"/>
      <c r="K10" s="95"/>
      <c r="L10" s="96"/>
      <c r="M10" s="13">
        <f>IF(M9="","",IF(M9&gt;O9,2,IF(M9&lt;O9,0,1)))</f>
        <v>0</v>
      </c>
      <c r="N10" s="7" t="s">
        <v>28</v>
      </c>
      <c r="O10" s="14">
        <f>IF(O9="","",IF(O9&gt;M9,2,IF(O9&lt;M9,0,1)))</f>
        <v>2</v>
      </c>
      <c r="P10" s="13">
        <f>IF(P9="","",IF(P9&gt;R9,2,IF(P9&lt;R9,0,1)))</f>
        <v>0</v>
      </c>
      <c r="Q10" s="7" t="s">
        <v>28</v>
      </c>
      <c r="R10" s="14">
        <f>IF(R9="","",IF(R9&gt;P9,2,IF(R9&lt;P9,0,1)))</f>
        <v>2</v>
      </c>
      <c r="S10" s="13">
        <f>IF(X10="","",SUM(D10,G10,J10,M10,P10))</f>
        <v>2</v>
      </c>
      <c r="T10" s="7" t="s">
        <v>28</v>
      </c>
      <c r="U10" s="14">
        <f>IF(X10="","",SUM(F10,I10,L10,O10,R10))</f>
        <v>6</v>
      </c>
      <c r="V10" s="15"/>
      <c r="W10" s="16">
        <f>+(S10-U10)+S9/U9+S10</f>
        <v>-1.1586206896551725</v>
      </c>
      <c r="X10" s="11" t="s">
        <v>29</v>
      </c>
      <c r="AB10" s="90"/>
    </row>
    <row r="11" spans="2:28" ht="15" customHeight="1">
      <c r="B11" s="46" t="str">
        <f>IF(Daten!B24="","",Daten!B24)</f>
        <v>1.W</v>
      </c>
      <c r="C11" s="27" t="str">
        <f>IF(Daten!C24="","",Daten!C24)</f>
        <v>TV Viersen</v>
      </c>
      <c r="D11" s="30">
        <f>IF(O5="","",O5)</f>
        <v>46</v>
      </c>
      <c r="E11" s="9" t="s">
        <v>27</v>
      </c>
      <c r="F11" s="31">
        <f>IF(M5="","",M5)</f>
        <v>31</v>
      </c>
      <c r="G11" s="30">
        <f>IF(O7="","",O7)</f>
        <v>36</v>
      </c>
      <c r="H11" s="9" t="s">
        <v>27</v>
      </c>
      <c r="I11" s="31">
        <f>IF(M7="","",M7)</f>
        <v>31</v>
      </c>
      <c r="J11" s="30">
        <f>IF(O9="","",O9)</f>
        <v>40</v>
      </c>
      <c r="K11" s="9" t="s">
        <v>27</v>
      </c>
      <c r="L11" s="31">
        <f>IF(M9="","",M9)</f>
        <v>32</v>
      </c>
      <c r="M11" s="91"/>
      <c r="N11" s="92"/>
      <c r="O11" s="93"/>
      <c r="P11" s="30">
        <f>IF('Samstag Neben'!$Q40="","",'Samstag Neben'!$Q40)</f>
        <v>33</v>
      </c>
      <c r="Q11" s="9" t="s">
        <v>27</v>
      </c>
      <c r="R11" s="31">
        <f>IF('Samstag Neben'!$S40="","",'Samstag Neben'!$S40)</f>
        <v>30</v>
      </c>
      <c r="S11" s="8">
        <f>IF(X12="","",SUM(D11,G11,J11,M11,P11))</f>
        <v>155</v>
      </c>
      <c r="T11" s="9" t="s">
        <v>27</v>
      </c>
      <c r="U11" s="10">
        <f>IF(X12="","",SUM(F11,I11,L11,O11,R11))</f>
        <v>124</v>
      </c>
      <c r="V11" s="6">
        <f>IF(X11="","",RANK(W12,($W$6,$W$8,$W$10,$W$12,$W$14),0))</f>
        <v>1</v>
      </c>
      <c r="X11" s="11" t="s">
        <v>29</v>
      </c>
      <c r="AA11">
        <v>4</v>
      </c>
      <c r="AB11" s="90" t="str">
        <f>IF(V11="","",IF($V$5=4,$C$5,IF($V$7=4,$C$7,IF($V$9=4,$C$9,IF($V$11=4,$C$11,IF($V$13=4,$C$13,0))))))</f>
        <v>Haaner TB</v>
      </c>
    </row>
    <row r="12" spans="2:28" ht="10.5" customHeight="1">
      <c r="B12" s="101"/>
      <c r="C12" s="28"/>
      <c r="D12" s="13">
        <f>IF(D11="","",IF(D11&gt;F11,2,IF(D11&lt;F11,0,1)))</f>
        <v>2</v>
      </c>
      <c r="E12" s="7" t="s">
        <v>28</v>
      </c>
      <c r="F12" s="14">
        <f>IF(F11="","",IF(F11&gt;D11,2,IF(F11&lt;D11,0,1)))</f>
        <v>0</v>
      </c>
      <c r="G12" s="13">
        <f>IF(G11="","",IF(G11&gt;I11,2,IF(G11&lt;I11,0,1)))</f>
        <v>2</v>
      </c>
      <c r="H12" s="7" t="s">
        <v>28</v>
      </c>
      <c r="I12" s="14">
        <f>IF(I11="","",IF(I11&gt;G11,2,IF(I11&lt;G11,0,1)))</f>
        <v>0</v>
      </c>
      <c r="J12" s="13">
        <f>IF(J11="","",IF(J11&gt;L11,2,IF(J11&lt;L11,0,1)))</f>
        <v>2</v>
      </c>
      <c r="K12" s="7" t="s">
        <v>28</v>
      </c>
      <c r="L12" s="14">
        <f>IF(L11="","",IF(L11&gt;J11,2,IF(L11&lt;J11,0,1)))</f>
        <v>0</v>
      </c>
      <c r="M12" s="94"/>
      <c r="N12" s="95"/>
      <c r="O12" s="96"/>
      <c r="P12" s="13">
        <f>IF(P11="","",IF(P11&gt;R11,2,IF(P11&lt;R11,0,1)))</f>
        <v>2</v>
      </c>
      <c r="Q12" s="7" t="s">
        <v>28</v>
      </c>
      <c r="R12" s="14">
        <f>IF(R11="","",IF(R11&gt;P11,2,IF(R11&lt;P11,0,1)))</f>
        <v>0</v>
      </c>
      <c r="S12" s="13">
        <f>IF(X12="","",SUM(D12,G12,J12,M12,P12))</f>
        <v>8</v>
      </c>
      <c r="T12" s="7" t="s">
        <v>28</v>
      </c>
      <c r="U12" s="14">
        <f>IF(X12="","",SUM(F12,I12,L12,O12,R12))</f>
        <v>0</v>
      </c>
      <c r="V12" s="15"/>
      <c r="W12" s="16">
        <f>+(S12-U12)+S11/U11+S12</f>
        <v>17.25</v>
      </c>
      <c r="X12" s="11" t="s">
        <v>29</v>
      </c>
      <c r="AB12" s="90"/>
    </row>
    <row r="13" spans="2:28" ht="15" customHeight="1">
      <c r="B13" s="46" t="str">
        <f>IF(Daten!B25="","",Daten!B25)</f>
        <v>1.S</v>
      </c>
      <c r="C13" s="27" t="str">
        <f>IF(Daten!C25="","",Daten!C25)</f>
        <v>TSV Krumbach</v>
      </c>
      <c r="D13" s="30">
        <f>IF(R5="","",R5)</f>
        <v>41</v>
      </c>
      <c r="E13" s="9" t="s">
        <v>27</v>
      </c>
      <c r="F13" s="31">
        <f>IF(P5="","",P5)</f>
        <v>25</v>
      </c>
      <c r="G13" s="30">
        <f>IF(R7="","",R7)</f>
        <v>24</v>
      </c>
      <c r="H13" s="9" t="s">
        <v>27</v>
      </c>
      <c r="I13" s="31">
        <f>IF(P7="","",P7)</f>
        <v>41</v>
      </c>
      <c r="J13" s="30">
        <f>IF(R9="","",R9)</f>
        <v>41</v>
      </c>
      <c r="K13" s="9" t="s">
        <v>27</v>
      </c>
      <c r="L13" s="31">
        <f>IF(P9="","",P9)</f>
        <v>29</v>
      </c>
      <c r="M13" s="30">
        <f>IF(R11="","",R11)</f>
        <v>30</v>
      </c>
      <c r="N13" s="9" t="s">
        <v>27</v>
      </c>
      <c r="O13" s="31">
        <f>IF(P11="","",P11)</f>
        <v>33</v>
      </c>
      <c r="P13" s="91"/>
      <c r="Q13" s="92"/>
      <c r="R13" s="93"/>
      <c r="S13" s="8">
        <f>IF(X14="","",SUM(D13,G13,J13,M13,P13))</f>
        <v>136</v>
      </c>
      <c r="T13" s="9" t="s">
        <v>27</v>
      </c>
      <c r="U13" s="10">
        <f>IF(X14="","",SUM(F13,I13,L13,O13,R13))</f>
        <v>128</v>
      </c>
      <c r="V13" s="6">
        <f>IF(X13="","",RANK(W14,($W$6,$W$8,$W$10,$W$12,$W$14),0))</f>
        <v>3</v>
      </c>
      <c r="X13" s="11" t="s">
        <v>29</v>
      </c>
      <c r="AA13">
        <v>5</v>
      </c>
      <c r="AB13" s="90" t="str">
        <f>IF(V13="","",IF($V$5=5,$C$5,IF($V$7=5,$C$7,IF($V$9=5,$C$9,IF($V$11=5,$C$11,IF($V$13=5,$C$13,0))))))</f>
        <v>SC Wentorf</v>
      </c>
    </row>
    <row r="14" spans="2:24" ht="10.5" customHeight="1">
      <c r="B14" s="101"/>
      <c r="C14" s="29"/>
      <c r="D14" s="13">
        <f>IF(D13="","",IF(D13&gt;F13,2,IF(D13&lt;F13,0,1)))</f>
        <v>2</v>
      </c>
      <c r="E14" s="7" t="s">
        <v>28</v>
      </c>
      <c r="F14" s="14">
        <f>IF(F13="","",IF(F13&gt;D13,2,IF(F13&lt;D13,0,1)))</f>
        <v>0</v>
      </c>
      <c r="G14" s="13">
        <f>IF(G13="","",IF(G13&gt;I13,2,IF(G13&lt;I13,0,1)))</f>
        <v>0</v>
      </c>
      <c r="H14" s="7" t="s">
        <v>28</v>
      </c>
      <c r="I14" s="14">
        <f>IF(I13="","",IF(I13&gt;G13,2,IF(I13&lt;G13,0,1)))</f>
        <v>2</v>
      </c>
      <c r="J14" s="13">
        <f>IF(J13="","",IF(J13&gt;L13,2,IF(J13&lt;L13,0,1)))</f>
        <v>2</v>
      </c>
      <c r="K14" s="7" t="s">
        <v>28</v>
      </c>
      <c r="L14" s="14">
        <f>IF(L13="","",IF(L13&gt;J13,2,IF(L13&lt;J13,0,1)))</f>
        <v>0</v>
      </c>
      <c r="M14" s="13">
        <f>IF(M13="","",IF(M13&gt;O13,2,IF(M13&lt;O13,0,1)))</f>
        <v>0</v>
      </c>
      <c r="N14" s="7" t="s">
        <v>28</v>
      </c>
      <c r="O14" s="14">
        <f>IF(O13="","",IF(O13&gt;M13,2,IF(O13&lt;M13,0,1)))</f>
        <v>2</v>
      </c>
      <c r="P14" s="94"/>
      <c r="Q14" s="95"/>
      <c r="R14" s="96"/>
      <c r="S14" s="13">
        <f>IF(X14="","",SUM(D14,G14,J14,M14,P14))</f>
        <v>4</v>
      </c>
      <c r="T14" s="7" t="s">
        <v>28</v>
      </c>
      <c r="U14" s="14">
        <f>IF(X14="","",SUM(F14,I14,L14,O14,R14))</f>
        <v>4</v>
      </c>
      <c r="V14" s="15"/>
      <c r="W14" s="16">
        <f>+(S14-U14)+S13/U13+S14</f>
        <v>5.0625</v>
      </c>
      <c r="X14" s="11" t="s">
        <v>29</v>
      </c>
    </row>
    <row r="15" spans="2:24" ht="9.75" customHeight="1">
      <c r="B15" s="41"/>
      <c r="C15" s="41"/>
      <c r="D15" s="42"/>
      <c r="E15" s="9"/>
      <c r="F15" s="43"/>
      <c r="G15" s="42"/>
      <c r="H15" s="9"/>
      <c r="I15" s="43"/>
      <c r="J15" s="42"/>
      <c r="K15" s="9"/>
      <c r="L15" s="43"/>
      <c r="M15" s="42"/>
      <c r="N15" s="9"/>
      <c r="O15" s="43"/>
      <c r="P15" s="18"/>
      <c r="Q15" s="18"/>
      <c r="R15" s="18"/>
      <c r="S15" s="42"/>
      <c r="T15" s="9"/>
      <c r="U15" s="43"/>
      <c r="V15" s="5"/>
      <c r="W15" s="16"/>
      <c r="X15" s="11"/>
    </row>
    <row r="16" spans="2:24" ht="9.75" customHeight="1" outlineLevel="1">
      <c r="B16" s="103" t="s">
        <v>30</v>
      </c>
      <c r="C16" s="32" t="str">
        <f>+C5</f>
        <v>SC Wentorf</v>
      </c>
      <c r="D16" s="33"/>
      <c r="E16" s="142"/>
      <c r="F16" s="34"/>
      <c r="G16" s="35"/>
      <c r="H16" s="36" t="s">
        <v>27</v>
      </c>
      <c r="I16" s="37"/>
      <c r="J16" s="35"/>
      <c r="K16" s="36" t="s">
        <v>27</v>
      </c>
      <c r="L16" s="37"/>
      <c r="M16" s="35"/>
      <c r="N16" s="36" t="s">
        <v>27</v>
      </c>
      <c r="O16" s="37"/>
      <c r="P16" s="38"/>
      <c r="Q16" s="36" t="s">
        <v>27</v>
      </c>
      <c r="R16" s="110"/>
      <c r="S16" s="22"/>
      <c r="T16" s="23"/>
      <c r="U16" s="24"/>
      <c r="V16" s="25"/>
      <c r="W16" s="16"/>
      <c r="X16" s="11"/>
    </row>
    <row r="17" spans="2:24" ht="9.75" customHeight="1" outlineLevel="1">
      <c r="B17" s="21"/>
      <c r="C17" s="32" t="str">
        <f>+C7</f>
        <v>SF Ricklingen</v>
      </c>
      <c r="D17" s="35">
        <f>IF(I16="","",I16)</f>
      </c>
      <c r="E17" s="36" t="s">
        <v>27</v>
      </c>
      <c r="F17" s="37">
        <f>IF(G16="","",G16)</f>
      </c>
      <c r="G17" s="33"/>
      <c r="H17" s="142"/>
      <c r="I17" s="34"/>
      <c r="J17" s="35"/>
      <c r="K17" s="36" t="s">
        <v>27</v>
      </c>
      <c r="L17" s="37"/>
      <c r="M17" s="35"/>
      <c r="N17" s="36" t="s">
        <v>27</v>
      </c>
      <c r="O17" s="37"/>
      <c r="P17" s="38"/>
      <c r="Q17" s="36" t="s">
        <v>27</v>
      </c>
      <c r="R17" s="110"/>
      <c r="S17" s="22"/>
      <c r="T17" s="23"/>
      <c r="U17" s="24"/>
      <c r="V17" s="25"/>
      <c r="W17" s="16"/>
      <c r="X17" s="11"/>
    </row>
    <row r="18" spans="2:24" ht="9.75" customHeight="1" outlineLevel="1">
      <c r="B18" s="21"/>
      <c r="C18" s="32" t="str">
        <f>+C9</f>
        <v>Haaner TB</v>
      </c>
      <c r="D18" s="35">
        <f>IF(L16="","",L16)</f>
      </c>
      <c r="E18" s="36" t="s">
        <v>27</v>
      </c>
      <c r="F18" s="37">
        <f>IF(J16="","",J16)</f>
      </c>
      <c r="G18" s="35">
        <f>IF(L17="","",L17)</f>
      </c>
      <c r="H18" s="36" t="s">
        <v>27</v>
      </c>
      <c r="I18" s="37">
        <f>IF(J17="","",J17)</f>
      </c>
      <c r="J18" s="33"/>
      <c r="K18" s="142"/>
      <c r="L18" s="34"/>
      <c r="M18" s="35"/>
      <c r="N18" s="36" t="s">
        <v>27</v>
      </c>
      <c r="O18" s="37"/>
      <c r="P18" s="38"/>
      <c r="Q18" s="36" t="s">
        <v>27</v>
      </c>
      <c r="R18" s="110"/>
      <c r="S18" s="22"/>
      <c r="T18" s="23"/>
      <c r="U18" s="24"/>
      <c r="V18" s="25"/>
      <c r="W18" s="16"/>
      <c r="X18" s="11"/>
    </row>
    <row r="19" spans="2:24" ht="9.75" customHeight="1" outlineLevel="1">
      <c r="B19" s="21"/>
      <c r="C19" s="32" t="str">
        <f>+C11</f>
        <v>TV Viersen</v>
      </c>
      <c r="D19" s="35">
        <f>IF(O16="","",O16)</f>
      </c>
      <c r="E19" s="36" t="s">
        <v>27</v>
      </c>
      <c r="F19" s="37">
        <f>IF(M16="","",M16)</f>
      </c>
      <c r="G19" s="35">
        <f>IF(O17="","",O17)</f>
      </c>
      <c r="H19" s="36" t="s">
        <v>27</v>
      </c>
      <c r="I19" s="37">
        <f>IF(M17="","",M17)</f>
      </c>
      <c r="J19" s="35">
        <f>IF(O18="","",O18)</f>
      </c>
      <c r="K19" s="36" t="s">
        <v>27</v>
      </c>
      <c r="L19" s="37">
        <f>IF(M18="","",M18)</f>
      </c>
      <c r="M19" s="33"/>
      <c r="N19" s="142"/>
      <c r="O19" s="34"/>
      <c r="P19" s="38"/>
      <c r="Q19" s="36" t="s">
        <v>27</v>
      </c>
      <c r="R19" s="110"/>
      <c r="S19" s="22"/>
      <c r="T19" s="23"/>
      <c r="U19" s="24"/>
      <c r="V19" s="25"/>
      <c r="W19" s="16"/>
      <c r="X19" s="11"/>
    </row>
    <row r="20" spans="2:24" ht="9.75" customHeight="1" outlineLevel="1">
      <c r="B20" s="21"/>
      <c r="C20" s="32" t="str">
        <f>+C13</f>
        <v>TSV Krumbach</v>
      </c>
      <c r="D20" s="35">
        <f>IF(R16="","",R16)</f>
      </c>
      <c r="E20" s="36" t="s">
        <v>27</v>
      </c>
      <c r="F20" s="37">
        <f>IF(P16="","",P16)</f>
      </c>
      <c r="G20" s="35">
        <f>IF(R17="","",R17)</f>
      </c>
      <c r="H20" s="36" t="s">
        <v>27</v>
      </c>
      <c r="I20" s="37">
        <f>IF(P17="","",P17)</f>
      </c>
      <c r="J20" s="35">
        <f>IF(R18="","",R18)</f>
      </c>
      <c r="K20" s="36" t="s">
        <v>27</v>
      </c>
      <c r="L20" s="37">
        <f>IF(P18="","",P18)</f>
      </c>
      <c r="M20" s="35">
        <f>IF(R19="","",R19)</f>
      </c>
      <c r="N20" s="36" t="s">
        <v>27</v>
      </c>
      <c r="O20" s="37">
        <f>IF(P19="","",P19)</f>
      </c>
      <c r="P20" s="33"/>
      <c r="Q20" s="194"/>
      <c r="R20" s="34"/>
      <c r="S20" s="22"/>
      <c r="T20" s="23"/>
      <c r="U20" s="24"/>
      <c r="V20" s="25"/>
      <c r="W20" s="16"/>
      <c r="X20" s="11"/>
    </row>
    <row r="22" spans="2:22" ht="12.75" customHeight="1">
      <c r="B22" s="130"/>
      <c r="C22" s="69" t="str">
        <f>+Daten!F20</f>
        <v>Gruppe B</v>
      </c>
      <c r="D22" s="19"/>
      <c r="E22" s="48" t="str">
        <f>+C23</f>
        <v>TSV Kirchdorf</v>
      </c>
      <c r="F22" s="20"/>
      <c r="G22" s="19"/>
      <c r="H22" s="48" t="str">
        <f>+C25</f>
        <v>SV Werder Bremen</v>
      </c>
      <c r="I22" s="20"/>
      <c r="J22" s="19"/>
      <c r="K22" s="48" t="str">
        <f>+C27</f>
        <v>TV Edingen</v>
      </c>
      <c r="L22" s="20"/>
      <c r="M22" s="19"/>
      <c r="N22" s="48" t="str">
        <f>+C29</f>
        <v>VT Contwig</v>
      </c>
      <c r="O22" s="20"/>
      <c r="P22" s="19"/>
      <c r="Q22" s="48" t="str">
        <f>+C31</f>
        <v>TuS Ferndorf</v>
      </c>
      <c r="R22" s="20"/>
      <c r="S22" s="19"/>
      <c r="T22" s="51" t="s">
        <v>24</v>
      </c>
      <c r="U22" s="20"/>
      <c r="V22" s="52" t="s">
        <v>25</v>
      </c>
    </row>
    <row r="23" spans="2:28" ht="15" customHeight="1">
      <c r="B23" s="46" t="str">
        <f>IF(Daten!E21="","",Daten!E21)</f>
        <v>3.N</v>
      </c>
      <c r="C23" s="27" t="str">
        <f>IF(Daten!F21="","",Daten!F21)</f>
        <v>TSV Kirchdorf</v>
      </c>
      <c r="D23" s="91"/>
      <c r="E23" s="92"/>
      <c r="F23" s="93"/>
      <c r="G23" s="30">
        <f>IF('Samstag Neben'!$Q25="","",'Samstag Neben'!$Q25)</f>
        <v>30</v>
      </c>
      <c r="H23" s="9" t="s">
        <v>27</v>
      </c>
      <c r="I23" s="31">
        <f>IF('Samstag Neben'!$S25="","",'Samstag Neben'!$S25)</f>
        <v>45</v>
      </c>
      <c r="J23" s="30">
        <f>IF('Samstag Neben'!$Q45="","",'Samstag Neben'!$Q45)</f>
        <v>31</v>
      </c>
      <c r="K23" s="9" t="s">
        <v>27</v>
      </c>
      <c r="L23" s="31">
        <f>IF('Samstag Neben'!$S45="","",'Samstag Neben'!$S45)</f>
        <v>33</v>
      </c>
      <c r="M23" s="30">
        <f>IF('Samstag Neben'!$Q57="","",'Samstag Neben'!$Q57)</f>
        <v>34</v>
      </c>
      <c r="N23" s="9" t="s">
        <v>27</v>
      </c>
      <c r="O23" s="31">
        <f>IF('Samstag Neben'!$S57="","",'Samstag Neben'!$S57)</f>
        <v>32</v>
      </c>
      <c r="P23" s="30">
        <f>IF('Samstag Neben'!$Q33="","",'Samstag Neben'!$Q33)</f>
        <v>33</v>
      </c>
      <c r="Q23" s="9" t="s">
        <v>27</v>
      </c>
      <c r="R23" s="31">
        <f>IF('Samstag Neben'!$S33="","",'Samstag Neben'!$S33)</f>
        <v>34</v>
      </c>
      <c r="S23" s="30">
        <f>IF(X24="","",SUM(D23,G23,J23,M23,P23))</f>
        <v>128</v>
      </c>
      <c r="T23" s="9" t="s">
        <v>27</v>
      </c>
      <c r="U23" s="31">
        <f>IF(X24="","",SUM(F23,I23,L23,O23,R23))</f>
        <v>144</v>
      </c>
      <c r="V23" s="26">
        <f>IF(X23="","",RANK(W24,($W$24,$W$26,$W$28,$W$30,$W$32),0))</f>
        <v>4</v>
      </c>
      <c r="X23" s="11" t="s">
        <v>29</v>
      </c>
      <c r="AA23">
        <v>1</v>
      </c>
      <c r="AB23" t="str">
        <f>IF(V23="","",IF($V$23=1,$C$23,IF($V$25=1,$C$25,IF($V$27=1,$C$27,IF($V$29=1,$C$29,IF($V$31=1,$C$31,0))))))</f>
        <v>SV Werder Bremen</v>
      </c>
    </row>
    <row r="24" spans="2:24" ht="10.5" customHeight="1">
      <c r="B24" s="97"/>
      <c r="C24" s="12"/>
      <c r="D24" s="94"/>
      <c r="E24" s="95"/>
      <c r="F24" s="96"/>
      <c r="G24" s="13">
        <f>IF(G23="","",IF(G23&gt;I23,2,IF(G23&lt;I23,0,1)))</f>
        <v>0</v>
      </c>
      <c r="H24" s="7" t="s">
        <v>28</v>
      </c>
      <c r="I24" s="14">
        <f>IF(I23="","",IF(I23&gt;G23,2,IF(I23&lt;G23,0,1)))</f>
        <v>2</v>
      </c>
      <c r="J24" s="13">
        <f>IF(J23="","",IF(J23&gt;L23,2,IF(J23&lt;L23,0,1)))</f>
        <v>0</v>
      </c>
      <c r="K24" s="7" t="s">
        <v>28</v>
      </c>
      <c r="L24" s="14">
        <f>IF(L23="","",IF(L23&gt;J23,2,IF(L23&lt;J23,0,1)))</f>
        <v>2</v>
      </c>
      <c r="M24" s="13">
        <f>IF(M23="","",IF(M23&gt;O23,2,IF(M23&lt;O23,0,1)))</f>
        <v>2</v>
      </c>
      <c r="N24" s="7" t="s">
        <v>28</v>
      </c>
      <c r="O24" s="14">
        <f>IF(O23="","",IF(O23&gt;M23,2,IF(O23&lt;M23,0,1)))</f>
        <v>0</v>
      </c>
      <c r="P24" s="13">
        <f>IF(P23="","",IF(P23&gt;R23,2,IF(P23&lt;R23,0,1)))</f>
        <v>0</v>
      </c>
      <c r="Q24" s="7" t="s">
        <v>28</v>
      </c>
      <c r="R24" s="14">
        <f>IF(R23="","",IF(R23&gt;P23,2,IF(R23&lt;P23,0,1)))</f>
        <v>2</v>
      </c>
      <c r="S24" s="13">
        <f>IF(X24="","",SUM(D24,G24,J24,M24,P24))</f>
        <v>2</v>
      </c>
      <c r="T24" s="7" t="s">
        <v>28</v>
      </c>
      <c r="U24" s="14">
        <f>IF(X24="","",SUM(F24,I24,L24,O24,R24))</f>
        <v>6</v>
      </c>
      <c r="V24" s="15"/>
      <c r="W24" s="16">
        <f>+(S24-U24)+S23/U23+S24</f>
        <v>-1.1111111111111112</v>
      </c>
      <c r="X24" s="11" t="s">
        <v>29</v>
      </c>
    </row>
    <row r="25" spans="2:28" ht="15" customHeight="1">
      <c r="B25" s="46" t="str">
        <f>IF(Daten!E22="","",Daten!E22)</f>
        <v>1.N</v>
      </c>
      <c r="C25" s="27" t="str">
        <f>IF(Daten!F22="","",Daten!F22)</f>
        <v>SV Werder Bremen</v>
      </c>
      <c r="D25" s="30">
        <f>IF(I23="","",I23)</f>
        <v>45</v>
      </c>
      <c r="E25" s="9" t="s">
        <v>27</v>
      </c>
      <c r="F25" s="31">
        <f>IF(G23="","",G23)</f>
        <v>30</v>
      </c>
      <c r="G25" s="91"/>
      <c r="H25" s="92"/>
      <c r="I25" s="93"/>
      <c r="J25" s="30">
        <f>IF('Samstag Neben'!$Q37="","",'Samstag Neben'!$Q37)</f>
        <v>33</v>
      </c>
      <c r="K25" s="9" t="s">
        <v>27</v>
      </c>
      <c r="L25" s="31">
        <f>IF('Samstag Neben'!$S37="","",'Samstag Neben'!$S37)</f>
        <v>31</v>
      </c>
      <c r="M25" s="30">
        <f>IF('Samstag Neben'!$Q49="","",'Samstag Neben'!$Q49)</f>
        <v>39</v>
      </c>
      <c r="N25" s="9" t="s">
        <v>27</v>
      </c>
      <c r="O25" s="31">
        <f>IF('Samstag Neben'!$S49="","",'Samstag Neben'!$S49)</f>
        <v>32</v>
      </c>
      <c r="P25" s="30">
        <f>IF('Samstag Neben'!$Q61="","",'Samstag Neben'!$Q61)</f>
        <v>38</v>
      </c>
      <c r="Q25" s="9" t="s">
        <v>27</v>
      </c>
      <c r="R25" s="31">
        <f>IF('Samstag Neben'!$S61="","",'Samstag Neben'!$S61)</f>
        <v>35</v>
      </c>
      <c r="S25" s="30">
        <f>IF(X26="","",SUM(D25,G25,J25,M25,P25))</f>
        <v>155</v>
      </c>
      <c r="T25" s="9" t="s">
        <v>27</v>
      </c>
      <c r="U25" s="31">
        <f>IF(X26="","",SUM(F25,I25,L25,O25,R25))</f>
        <v>128</v>
      </c>
      <c r="V25" s="6">
        <f>IF(X25="","",RANK(W26,($W$24,$W$26,$W$28,$W$30,$W$32),0))</f>
        <v>1</v>
      </c>
      <c r="X25" s="11" t="s">
        <v>29</v>
      </c>
      <c r="AA25">
        <v>2</v>
      </c>
      <c r="AB25" t="str">
        <f>IF(V25="","",IF($V$23=2,$C$23,IF($V$25=2,$C$25,IF($V$27=2,$C$27,IF($V$29=2,$C$29,IF($V$31=2,$C$31,0))))))</f>
        <v>TuS Ferndorf</v>
      </c>
    </row>
    <row r="26" spans="2:24" ht="10.5" customHeight="1">
      <c r="B26" s="97"/>
      <c r="C26" s="12"/>
      <c r="D26" s="13">
        <f>IF(D25="","",IF(D25&gt;F25,2,IF(D25&lt;F25,0,1)))</f>
        <v>2</v>
      </c>
      <c r="E26" s="7" t="s">
        <v>28</v>
      </c>
      <c r="F26" s="14">
        <f>IF(F25="","",IF(F25&gt;D25,2,IF(F25&lt;D25,0,1)))</f>
        <v>0</v>
      </c>
      <c r="G26" s="94"/>
      <c r="H26" s="95"/>
      <c r="I26" s="96"/>
      <c r="J26" s="13">
        <f>IF(J25="","",IF(J25&gt;L25,2,IF(J25&lt;L25,0,1)))</f>
        <v>2</v>
      </c>
      <c r="K26" s="7" t="s">
        <v>28</v>
      </c>
      <c r="L26" s="14">
        <f>IF(L25="","",IF(L25&gt;J25,2,IF(L25&lt;J25,0,1)))</f>
        <v>0</v>
      </c>
      <c r="M26" s="13">
        <f>IF(M25="","",IF(M25&gt;O25,2,IF(M25&lt;O25,0,1)))</f>
        <v>2</v>
      </c>
      <c r="N26" s="7" t="s">
        <v>28</v>
      </c>
      <c r="O26" s="14">
        <f>IF(O25="","",IF(O25&gt;M25,2,IF(O25&lt;M25,0,1)))</f>
        <v>0</v>
      </c>
      <c r="P26" s="13">
        <f>IF(P25="","",IF(P25&gt;R25,2,IF(P25&lt;R25,0,1)))</f>
        <v>2</v>
      </c>
      <c r="Q26" s="7" t="s">
        <v>28</v>
      </c>
      <c r="R26" s="14">
        <f>IF(R25="","",IF(R25&gt;P25,2,IF(R25&lt;P25,0,1)))</f>
        <v>0</v>
      </c>
      <c r="S26" s="13">
        <f>IF(X26="","",SUM(D26,G26,J26,M26,P26))</f>
        <v>8</v>
      </c>
      <c r="T26" s="7" t="s">
        <v>28</v>
      </c>
      <c r="U26" s="14">
        <f>IF(X26="","",SUM(F26,I26,L26,O26,R26))</f>
        <v>0</v>
      </c>
      <c r="V26" s="15"/>
      <c r="W26" s="16">
        <f>+(S26-U26)+S25/U25+S26</f>
        <v>17.2109375</v>
      </c>
      <c r="X26" s="11" t="s">
        <v>29</v>
      </c>
    </row>
    <row r="27" spans="2:28" ht="15" customHeight="1">
      <c r="B27" s="46" t="str">
        <f>IF(Daten!E23="","",Daten!E23)</f>
        <v>3.S</v>
      </c>
      <c r="C27" s="27" t="str">
        <f>IF(Daten!F23="","",Daten!F23)</f>
        <v>TV Edingen</v>
      </c>
      <c r="D27" s="30">
        <f>IF(L23="","",L23)</f>
        <v>33</v>
      </c>
      <c r="E27" s="9" t="s">
        <v>27</v>
      </c>
      <c r="F27" s="31">
        <f>IF(J23="","",J23)</f>
        <v>31</v>
      </c>
      <c r="G27" s="30">
        <f>IF(L25="","",L25)</f>
        <v>31</v>
      </c>
      <c r="H27" s="9" t="s">
        <v>27</v>
      </c>
      <c r="I27" s="31">
        <f>IF(J25="","",J25)</f>
        <v>33</v>
      </c>
      <c r="J27" s="91"/>
      <c r="K27" s="92"/>
      <c r="L27" s="93"/>
      <c r="M27" s="30">
        <f>IF('Samstag Neben'!$Q29="","",'Samstag Neben'!$Q29)</f>
        <v>33</v>
      </c>
      <c r="N27" s="9" t="s">
        <v>27</v>
      </c>
      <c r="O27" s="31">
        <f>IF('Samstag Neben'!$S29="","",'Samstag Neben'!$S29)</f>
        <v>36</v>
      </c>
      <c r="P27" s="30">
        <f>IF('Samstag Neben'!$Q53="","",'Samstag Neben'!$Q53)</f>
        <v>29</v>
      </c>
      <c r="Q27" s="9" t="s">
        <v>27</v>
      </c>
      <c r="R27" s="31">
        <f>IF('Samstag Neben'!$S53="","",'Samstag Neben'!$S53)</f>
        <v>45</v>
      </c>
      <c r="S27" s="30">
        <f>IF(X28="","",SUM(D27,G27,J27,M27,P27))</f>
        <v>126</v>
      </c>
      <c r="T27" s="9" t="s">
        <v>27</v>
      </c>
      <c r="U27" s="31">
        <f>IF(X28="","",SUM(F27,I27,L27,O27,R27))</f>
        <v>145</v>
      </c>
      <c r="V27" s="6">
        <f>IF(X27="","",RANK(W28,($W$24,$W$26,$W$28,$W$30,$W$32),0))</f>
        <v>5</v>
      </c>
      <c r="X27" s="11" t="s">
        <v>29</v>
      </c>
      <c r="AA27">
        <v>3</v>
      </c>
      <c r="AB27" t="str">
        <f>IF(V27="","",IF($V$23=3,$C$23,IF($V$25=3,$C$25,IF($V$27=3,$C$27,IF($V$29=3,$C$29,IF($V$31=3,$C$31,0))))))</f>
        <v>VT Contwig</v>
      </c>
    </row>
    <row r="28" spans="2:24" ht="10.5" customHeight="1">
      <c r="B28" s="98"/>
      <c r="C28" s="17"/>
      <c r="D28" s="13">
        <f>IF(D27="","",IF(D27&gt;F27,2,IF(D27&lt;F27,0,1)))</f>
        <v>2</v>
      </c>
      <c r="E28" s="7" t="s">
        <v>28</v>
      </c>
      <c r="F28" s="14">
        <f>IF(F27="","",IF(F27&gt;D27,2,IF(F27&lt;D27,0,1)))</f>
        <v>0</v>
      </c>
      <c r="G28" s="13">
        <f>IF(G27="","",IF(G27&gt;I27,2,IF(G27&lt;I27,0,1)))</f>
        <v>0</v>
      </c>
      <c r="H28" s="7" t="s">
        <v>28</v>
      </c>
      <c r="I28" s="14">
        <f>IF(I27="","",IF(I27&gt;G27,2,IF(I27&lt;G27,0,1)))</f>
        <v>2</v>
      </c>
      <c r="J28" s="94"/>
      <c r="K28" s="95"/>
      <c r="L28" s="96"/>
      <c r="M28" s="13">
        <f>IF(M27="","",IF(M27&gt;O27,2,IF(M27&lt;O27,0,1)))</f>
        <v>0</v>
      </c>
      <c r="N28" s="7" t="s">
        <v>28</v>
      </c>
      <c r="O28" s="14">
        <f>IF(O27="","",IF(O27&gt;M27,2,IF(O27&lt;M27,0,1)))</f>
        <v>2</v>
      </c>
      <c r="P28" s="13">
        <f>IF(P27="","",IF(P27&gt;R27,2,IF(P27&lt;R27,0,1)))</f>
        <v>0</v>
      </c>
      <c r="Q28" s="7" t="s">
        <v>28</v>
      </c>
      <c r="R28" s="14">
        <f>IF(R27="","",IF(R27&gt;P27,2,IF(R27&lt;P27,0,1)))</f>
        <v>2</v>
      </c>
      <c r="S28" s="13">
        <f>IF(X28="","",SUM(D28,G28,J28,M28,P28))</f>
        <v>2</v>
      </c>
      <c r="T28" s="7" t="s">
        <v>28</v>
      </c>
      <c r="U28" s="14">
        <f>IF(X28="","",SUM(F28,I28,L28,O28,R28))</f>
        <v>6</v>
      </c>
      <c r="V28" s="15"/>
      <c r="W28" s="16">
        <f>+(S28-U28)+S27/U27+S28</f>
        <v>-1.1310344827586207</v>
      </c>
      <c r="X28" s="11" t="s">
        <v>29</v>
      </c>
    </row>
    <row r="29" spans="2:28" ht="15" customHeight="1">
      <c r="B29" s="46" t="str">
        <f>IF(Daten!E24="","",Daten!E24)</f>
        <v>2.S</v>
      </c>
      <c r="C29" s="27" t="str">
        <f>IF(Daten!F24="","",Daten!F24)</f>
        <v>VT Contwig</v>
      </c>
      <c r="D29" s="30">
        <f>IF(O23="","",O23)</f>
        <v>32</v>
      </c>
      <c r="E29" s="9" t="s">
        <v>27</v>
      </c>
      <c r="F29" s="31">
        <f>IF(M23="","",M23)</f>
        <v>34</v>
      </c>
      <c r="G29" s="30">
        <f>IF(O25="","",O25)</f>
        <v>32</v>
      </c>
      <c r="H29" s="9" t="s">
        <v>27</v>
      </c>
      <c r="I29" s="31">
        <f>IF(M25="","",M25)</f>
        <v>39</v>
      </c>
      <c r="J29" s="30">
        <f>IF(O27="","",O27)</f>
        <v>36</v>
      </c>
      <c r="K29" s="9" t="s">
        <v>27</v>
      </c>
      <c r="L29" s="31">
        <f>IF(M27="","",M27)</f>
        <v>33</v>
      </c>
      <c r="M29" s="91"/>
      <c r="N29" s="92"/>
      <c r="O29" s="93"/>
      <c r="P29" s="30">
        <f>IF('Samstag Neben'!$Q41="","",'Samstag Neben'!$Q41)</f>
        <v>31</v>
      </c>
      <c r="Q29" s="9" t="s">
        <v>27</v>
      </c>
      <c r="R29" s="31">
        <f>IF('Samstag Neben'!$S41="","",'Samstag Neben'!$S41)</f>
        <v>37</v>
      </c>
      <c r="S29" s="30">
        <f>IF(X30="","",SUM(D29,G29,J29,M29,P29))</f>
        <v>131</v>
      </c>
      <c r="T29" s="9" t="s">
        <v>27</v>
      </c>
      <c r="U29" s="31">
        <f>IF(X30="","",SUM(F29,I29,L29,O29,R29))</f>
        <v>143</v>
      </c>
      <c r="V29" s="6">
        <f>IF(X29="","",RANK(W30,($W$24,$W$26,$W$28,$W$30,$W$32),0))</f>
        <v>3</v>
      </c>
      <c r="X29" s="11" t="s">
        <v>29</v>
      </c>
      <c r="AA29">
        <v>4</v>
      </c>
      <c r="AB29" t="str">
        <f>IF(V29="","",IF($V$23=4,$C$23,IF($V$25=4,$C$25,IF($V$27=4,$C$27,IF($V$29=4,$C$29,IF($V$31=4,$C$31,0))))))</f>
        <v>TSV Kirchdorf</v>
      </c>
    </row>
    <row r="30" spans="2:24" ht="10.5" customHeight="1">
      <c r="B30" s="97"/>
      <c r="C30" s="17"/>
      <c r="D30" s="13">
        <f>IF(D29="","",IF(D29&gt;F29,2,IF(D29&lt;F29,0,1)))</f>
        <v>0</v>
      </c>
      <c r="E30" s="7" t="s">
        <v>28</v>
      </c>
      <c r="F30" s="14">
        <f>IF(F29="","",IF(F29&gt;D29,2,IF(F29&lt;D29,0,1)))</f>
        <v>2</v>
      </c>
      <c r="G30" s="13">
        <f>IF(G29="","",IF(G29&gt;I29,2,IF(G29&lt;I29,0,1)))</f>
        <v>0</v>
      </c>
      <c r="H30" s="7" t="s">
        <v>28</v>
      </c>
      <c r="I30" s="14">
        <f>IF(I29="","",IF(I29&gt;G29,2,IF(I29&lt;G29,0,1)))</f>
        <v>2</v>
      </c>
      <c r="J30" s="13">
        <f>IF(J29="","",IF(J29&gt;L29,2,IF(J29&lt;L29,0,1)))</f>
        <v>2</v>
      </c>
      <c r="K30" s="7" t="s">
        <v>28</v>
      </c>
      <c r="L30" s="14">
        <f>IF(L29="","",IF(L29&gt;J29,2,IF(L29&lt;J29,0,1)))</f>
        <v>0</v>
      </c>
      <c r="M30" s="94"/>
      <c r="N30" s="95"/>
      <c r="O30" s="96"/>
      <c r="P30" s="13">
        <f>IF(P29="","",IF(P29&gt;R29,2,IF(P29&lt;R29,0,1)))</f>
        <v>0</v>
      </c>
      <c r="Q30" s="7" t="s">
        <v>28</v>
      </c>
      <c r="R30" s="14">
        <f>IF(R29="","",IF(R29&gt;P29,2,IF(R29&lt;P29,0,1)))</f>
        <v>2</v>
      </c>
      <c r="S30" s="13">
        <f>IF(X30="","",SUM(D30,G30,J30,M30,P30))</f>
        <v>2</v>
      </c>
      <c r="T30" s="7" t="s">
        <v>28</v>
      </c>
      <c r="U30" s="14">
        <f>IF(X30="","",SUM(F30,I30,L30,O30,R30))</f>
        <v>6</v>
      </c>
      <c r="V30" s="15"/>
      <c r="W30" s="16">
        <f>+(S30-U30)+S29/U29+S30</f>
        <v>-1.0839160839160842</v>
      </c>
      <c r="X30" s="11" t="s">
        <v>29</v>
      </c>
    </row>
    <row r="31" spans="2:28" ht="15" customHeight="1">
      <c r="B31" s="46" t="str">
        <f>IF(Daten!E25="","",Daten!E25)</f>
        <v>2.W</v>
      </c>
      <c r="C31" s="27" t="str">
        <f>IF(Daten!F25="","",Daten!F25)</f>
        <v>TuS Ferndorf</v>
      </c>
      <c r="D31" s="30">
        <f>IF(R23="","",R23)</f>
        <v>34</v>
      </c>
      <c r="E31" s="9" t="s">
        <v>27</v>
      </c>
      <c r="F31" s="31">
        <f>IF(P23="","",P23)</f>
        <v>33</v>
      </c>
      <c r="G31" s="30">
        <f>IF(R25="","",R25)</f>
        <v>35</v>
      </c>
      <c r="H31" s="9" t="s">
        <v>27</v>
      </c>
      <c r="I31" s="31">
        <f>IF(P25="","",P25)</f>
        <v>38</v>
      </c>
      <c r="J31" s="30">
        <f>IF(R27="","",R27)</f>
        <v>45</v>
      </c>
      <c r="K31" s="9" t="s">
        <v>27</v>
      </c>
      <c r="L31" s="31">
        <f>IF(P27="","",P27)</f>
        <v>29</v>
      </c>
      <c r="M31" s="30">
        <f>IF(R29="","",R29)</f>
        <v>37</v>
      </c>
      <c r="N31" s="9" t="s">
        <v>27</v>
      </c>
      <c r="O31" s="31">
        <f>IF(P29="","",P29)</f>
        <v>31</v>
      </c>
      <c r="P31" s="91"/>
      <c r="Q31" s="92"/>
      <c r="R31" s="93"/>
      <c r="S31" s="30">
        <f>IF(X32="","",SUM(D31,G31,J31,M31,P31))</f>
        <v>151</v>
      </c>
      <c r="T31" s="9" t="s">
        <v>27</v>
      </c>
      <c r="U31" s="31">
        <f>IF(X32="","",SUM(F31,I31,L31,O31,R31))</f>
        <v>131</v>
      </c>
      <c r="V31" s="6">
        <f>IF(X31="","",RANK(W32,($W$24,$W$26,$W$28,$W$30,$W$32),0))</f>
        <v>2</v>
      </c>
      <c r="X31" s="11" t="s">
        <v>29</v>
      </c>
      <c r="AA31">
        <v>5</v>
      </c>
      <c r="AB31" t="str">
        <f>IF(V31="","",IF($V$23=5,$C$23,IF($V$25=5,$C$25,IF($V$27=5,$C$27,IF($V$29=5,$C$29,IF($V$31=5,$C$31,0))))))</f>
        <v>TV Edingen</v>
      </c>
    </row>
    <row r="32" spans="2:24" ht="10.5" customHeight="1">
      <c r="B32" s="98"/>
      <c r="C32" s="17"/>
      <c r="D32" s="13">
        <f>IF(D31="","",IF(D31&gt;F31,2,IF(D31&lt;F31,0,1)))</f>
        <v>2</v>
      </c>
      <c r="E32" s="7" t="s">
        <v>28</v>
      </c>
      <c r="F32" s="14">
        <f>IF(F31="","",IF(F31&gt;D31,2,IF(F31&lt;D31,0,1)))</f>
        <v>0</v>
      </c>
      <c r="G32" s="13">
        <f>IF(G31="","",IF(G31&gt;I31,2,IF(G31&lt;I31,0,1)))</f>
        <v>0</v>
      </c>
      <c r="H32" s="7" t="s">
        <v>28</v>
      </c>
      <c r="I32" s="14">
        <f>IF(I31="","",IF(I31&gt;G31,2,IF(I31&lt;G31,0,1)))</f>
        <v>2</v>
      </c>
      <c r="J32" s="13">
        <f>IF(J31="","",IF(J31&gt;L31,2,IF(J31&lt;L31,0,1)))</f>
        <v>2</v>
      </c>
      <c r="K32" s="7" t="s">
        <v>28</v>
      </c>
      <c r="L32" s="14">
        <f>IF(L31="","",IF(L31&gt;J31,2,IF(L31&lt;J31,0,1)))</f>
        <v>0</v>
      </c>
      <c r="M32" s="13">
        <f>IF(M31="","",IF(M31&gt;O31,2,IF(M31&lt;O31,0,1)))</f>
        <v>2</v>
      </c>
      <c r="N32" s="7" t="s">
        <v>28</v>
      </c>
      <c r="O32" s="14">
        <f>IF(O31="","",IF(O31&gt;M31,2,IF(O31&lt;M31,0,1)))</f>
        <v>0</v>
      </c>
      <c r="P32" s="94"/>
      <c r="Q32" s="95"/>
      <c r="R32" s="96"/>
      <c r="S32" s="13">
        <f>IF(X32="","",SUM(D32,G32,J32,M32,P32))</f>
        <v>6</v>
      </c>
      <c r="T32" s="7" t="s">
        <v>28</v>
      </c>
      <c r="U32" s="14">
        <f>IF(X32="","",SUM(F32,I32,L32,O32,R32))</f>
        <v>2</v>
      </c>
      <c r="V32" s="15"/>
      <c r="W32" s="16">
        <f>+(S32-U32)+S31/U31+S32</f>
        <v>11.15267175572519</v>
      </c>
      <c r="X32" s="11" t="s">
        <v>29</v>
      </c>
    </row>
    <row r="33" spans="2:24" ht="9.75" customHeight="1">
      <c r="B33" s="41"/>
      <c r="C33" s="41"/>
      <c r="D33" s="42"/>
      <c r="E33" s="9"/>
      <c r="F33" s="43"/>
      <c r="G33" s="42"/>
      <c r="H33" s="9"/>
      <c r="I33" s="43"/>
      <c r="J33" s="42"/>
      <c r="K33" s="9"/>
      <c r="L33" s="43"/>
      <c r="M33" s="42"/>
      <c r="N33" s="9"/>
      <c r="O33" s="43"/>
      <c r="P33" s="18"/>
      <c r="Q33" s="18"/>
      <c r="R33" s="18"/>
      <c r="S33" s="42"/>
      <c r="T33" s="9"/>
      <c r="U33" s="43"/>
      <c r="V33" s="5"/>
      <c r="W33" s="16"/>
      <c r="X33" s="11"/>
    </row>
    <row r="34" spans="2:24" ht="9.75" customHeight="1" outlineLevel="1">
      <c r="B34" s="103" t="s">
        <v>30</v>
      </c>
      <c r="C34" s="32" t="str">
        <f>+C23</f>
        <v>TSV Kirchdorf</v>
      </c>
      <c r="D34" s="33"/>
      <c r="E34" s="142" t="s">
        <v>198</v>
      </c>
      <c r="F34" s="34"/>
      <c r="G34" s="35"/>
      <c r="H34" s="36" t="s">
        <v>27</v>
      </c>
      <c r="I34" s="37"/>
      <c r="J34" s="35">
        <v>23</v>
      </c>
      <c r="K34" s="36" t="s">
        <v>27</v>
      </c>
      <c r="L34" s="37">
        <v>16</v>
      </c>
      <c r="M34" s="35">
        <v>13</v>
      </c>
      <c r="N34" s="36" t="s">
        <v>27</v>
      </c>
      <c r="O34" s="37">
        <v>15</v>
      </c>
      <c r="P34" s="38"/>
      <c r="Q34" s="36" t="s">
        <v>27</v>
      </c>
      <c r="R34" s="110"/>
      <c r="S34" s="22"/>
      <c r="T34" s="23"/>
      <c r="U34" s="24"/>
      <c r="V34" s="25"/>
      <c r="W34" s="16"/>
      <c r="X34" s="11"/>
    </row>
    <row r="35" spans="2:24" ht="9.75" customHeight="1" outlineLevel="1">
      <c r="B35" s="21"/>
      <c r="C35" s="32" t="str">
        <f>+C25</f>
        <v>SV Werder Bremen</v>
      </c>
      <c r="D35" s="35">
        <f>IF(I34="","",I34)</f>
      </c>
      <c r="E35" s="36" t="s">
        <v>27</v>
      </c>
      <c r="F35" s="37">
        <f>IF(G34="","",G34)</f>
      </c>
      <c r="G35" s="33"/>
      <c r="H35" s="142"/>
      <c r="I35" s="34"/>
      <c r="J35" s="35"/>
      <c r="K35" s="36" t="s">
        <v>27</v>
      </c>
      <c r="L35" s="37"/>
      <c r="M35" s="35"/>
      <c r="N35" s="36" t="s">
        <v>27</v>
      </c>
      <c r="O35" s="37"/>
      <c r="P35" s="38"/>
      <c r="Q35" s="36" t="s">
        <v>27</v>
      </c>
      <c r="R35" s="110"/>
      <c r="S35" s="22"/>
      <c r="T35" s="23"/>
      <c r="U35" s="24"/>
      <c r="V35" s="25"/>
      <c r="W35" s="16"/>
      <c r="X35" s="11"/>
    </row>
    <row r="36" spans="2:24" ht="9.75" customHeight="1" outlineLevel="1">
      <c r="B36" s="21"/>
      <c r="C36" s="32" t="str">
        <f>+C27</f>
        <v>TV Edingen</v>
      </c>
      <c r="D36" s="35">
        <f>IF(L34="","",L34)</f>
        <v>16</v>
      </c>
      <c r="E36" s="36" t="s">
        <v>27</v>
      </c>
      <c r="F36" s="37">
        <f>IF(J34="","",J34)</f>
        <v>23</v>
      </c>
      <c r="G36" s="35">
        <f>IF(L35="","",L35)</f>
      </c>
      <c r="H36" s="36" t="s">
        <v>27</v>
      </c>
      <c r="I36" s="37">
        <f>IF(J35="","",J35)</f>
      </c>
      <c r="J36" s="33"/>
      <c r="K36" s="142">
        <v>2</v>
      </c>
      <c r="L36" s="34"/>
      <c r="M36" s="35">
        <v>14</v>
      </c>
      <c r="N36" s="36" t="s">
        <v>27</v>
      </c>
      <c r="O36" s="37">
        <v>17</v>
      </c>
      <c r="P36" s="38"/>
      <c r="Q36" s="36" t="s">
        <v>27</v>
      </c>
      <c r="R36" s="110"/>
      <c r="S36" s="22"/>
      <c r="T36" s="23"/>
      <c r="U36" s="24"/>
      <c r="V36" s="25"/>
      <c r="W36" s="16"/>
      <c r="X36" s="11"/>
    </row>
    <row r="37" spans="2:24" ht="9.75" customHeight="1" outlineLevel="1">
      <c r="B37" s="21"/>
      <c r="C37" s="32" t="str">
        <f>+C29</f>
        <v>VT Contwig</v>
      </c>
      <c r="D37" s="35">
        <f>IF(O34="","",O34)</f>
        <v>15</v>
      </c>
      <c r="E37" s="36" t="s">
        <v>27</v>
      </c>
      <c r="F37" s="37">
        <f>IF(M34="","",M34)</f>
        <v>13</v>
      </c>
      <c r="G37" s="35">
        <f>IF(O35="","",O35)</f>
      </c>
      <c r="H37" s="36" t="s">
        <v>27</v>
      </c>
      <c r="I37" s="37">
        <f>IF(M35="","",M35)</f>
      </c>
      <c r="J37" s="35">
        <f>IF(O36="","",O36)</f>
        <v>17</v>
      </c>
      <c r="K37" s="36" t="s">
        <v>27</v>
      </c>
      <c r="L37" s="37">
        <f>IF(M36="","",M36)</f>
        <v>14</v>
      </c>
      <c r="M37" s="33"/>
      <c r="N37" s="142">
        <v>1</v>
      </c>
      <c r="O37" s="34"/>
      <c r="P37" s="38"/>
      <c r="Q37" s="36" t="s">
        <v>27</v>
      </c>
      <c r="R37" s="110"/>
      <c r="S37" s="22"/>
      <c r="T37" s="23"/>
      <c r="U37" s="24"/>
      <c r="V37" s="25"/>
      <c r="W37" s="16"/>
      <c r="X37" s="11"/>
    </row>
    <row r="38" spans="3:18" ht="9.75" customHeight="1" outlineLevel="1">
      <c r="C38" s="32" t="str">
        <f>+C31</f>
        <v>TuS Ferndorf</v>
      </c>
      <c r="D38" s="35">
        <f>IF(R34="","",R34)</f>
      </c>
      <c r="E38" s="36" t="s">
        <v>27</v>
      </c>
      <c r="F38" s="37">
        <f>IF(P34="","",P34)</f>
      </c>
      <c r="G38" s="35">
        <f>IF(R35="","",R35)</f>
      </c>
      <c r="H38" s="36" t="s">
        <v>27</v>
      </c>
      <c r="I38" s="37">
        <f>IF(P35="","",P35)</f>
      </c>
      <c r="J38" s="35">
        <f>IF(R36="","",R36)</f>
      </c>
      <c r="K38" s="36" t="s">
        <v>27</v>
      </c>
      <c r="L38" s="37">
        <f>IF(P36="","",P36)</f>
      </c>
      <c r="M38" s="35">
        <f>IF(R37="","",R37)</f>
      </c>
      <c r="N38" s="36" t="s">
        <v>27</v>
      </c>
      <c r="O38" s="37">
        <f>IF(P37="","",P37)</f>
      </c>
      <c r="P38" s="33"/>
      <c r="Q38" s="194"/>
      <c r="R38" s="34"/>
    </row>
    <row r="39" ht="18" customHeight="1">
      <c r="B39" s="58" t="s">
        <v>57</v>
      </c>
    </row>
    <row r="40" spans="1:15" ht="17.25" customHeight="1">
      <c r="A40" t="s">
        <v>42</v>
      </c>
      <c r="B40" s="66" t="str">
        <f>"4."&amp;+$C$4&amp;"  5."&amp;+$C$22</f>
        <v>4.Gruppe A  5.Gruppe B</v>
      </c>
      <c r="C40" s="104" t="str">
        <f>IF(M40="","",$AB$11&amp;" : "&amp;$AB$31)</f>
        <v>Haaner TB : TV Edingen</v>
      </c>
      <c r="D40" s="64"/>
      <c r="E40" s="64"/>
      <c r="F40" s="64"/>
      <c r="G40" s="64"/>
      <c r="H40" s="65"/>
      <c r="I40" s="69"/>
      <c r="J40" s="80">
        <f>IF('Samstag Neben'!Q64="","",'Samstag Neben'!Q64)</f>
        <v>38</v>
      </c>
      <c r="K40" s="67" t="s">
        <v>27</v>
      </c>
      <c r="L40" s="78">
        <f>IF('Samstag Neben'!S64="","",'Samstag Neben'!S64)</f>
        <v>25</v>
      </c>
      <c r="M40" s="82" t="s">
        <v>29</v>
      </c>
      <c r="N40" s="68"/>
      <c r="O40" s="56"/>
    </row>
    <row r="41" spans="1:13" ht="4.5" customHeight="1">
      <c r="A41" s="25"/>
      <c r="B41" s="62"/>
      <c r="C41" s="105"/>
      <c r="D41" s="44"/>
      <c r="E41" s="45"/>
      <c r="F41" s="44"/>
      <c r="G41" s="44"/>
      <c r="H41" s="44"/>
      <c r="I41" s="44"/>
      <c r="J41" s="81"/>
      <c r="L41" s="79"/>
      <c r="M41" s="83"/>
    </row>
    <row r="42" spans="1:14" ht="17.25" customHeight="1">
      <c r="A42" t="s">
        <v>43</v>
      </c>
      <c r="B42" s="66" t="str">
        <f>"4."&amp;+$C$22&amp;"  5."&amp;+$C$4</f>
        <v>4.Gruppe B  5.Gruppe A</v>
      </c>
      <c r="C42" s="104" t="str">
        <f>IF(M42="","",$AB$29&amp;" : "&amp;$AB$13)</f>
        <v>TSV Kirchdorf : SC Wentorf</v>
      </c>
      <c r="D42" s="63"/>
      <c r="E42" s="63"/>
      <c r="F42" s="63"/>
      <c r="G42" s="63"/>
      <c r="H42" s="63"/>
      <c r="I42" s="20"/>
      <c r="J42" s="80">
        <f>IF('Samstag Neben'!Q65="","",'Samstag Neben'!Q65)</f>
        <v>41</v>
      </c>
      <c r="K42" s="67" t="s">
        <v>27</v>
      </c>
      <c r="L42" s="78">
        <f>IF('Samstag Neben'!S65="","",'Samstag Neben'!S65)</f>
        <v>36</v>
      </c>
      <c r="M42" s="82" t="s">
        <v>29</v>
      </c>
      <c r="N42" s="68"/>
    </row>
    <row r="43" spans="2:22" ht="18" customHeight="1">
      <c r="B43" s="59" t="s">
        <v>58</v>
      </c>
      <c r="C43" s="106"/>
      <c r="D43" s="44"/>
      <c r="E43" s="45"/>
      <c r="F43" s="44"/>
      <c r="G43" s="44"/>
      <c r="H43" s="44"/>
      <c r="I43" s="44"/>
      <c r="J43" s="81"/>
      <c r="L43" s="79"/>
      <c r="M43" s="83"/>
      <c r="P43" s="25"/>
      <c r="Q43" s="25"/>
      <c r="R43" s="25"/>
      <c r="S43" s="25"/>
      <c r="T43" s="25"/>
      <c r="U43" s="25"/>
      <c r="V43" s="25"/>
    </row>
    <row r="44" spans="2:22" ht="17.25" customHeight="1">
      <c r="B44" s="73" t="str">
        <f>"V."&amp;A40&amp;"/"&amp;A42&amp;"      9./10. Pl."</f>
        <v>V.a/b      9./10. Pl.</v>
      </c>
      <c r="C44" s="107" t="str">
        <f>IF(M44="","",'Samstag Neben'!H68&amp;" : "&amp;'Samstag Neben'!L68)</f>
        <v>TV Edingen : SC Wentorf</v>
      </c>
      <c r="D44" s="63"/>
      <c r="E44" s="63"/>
      <c r="F44" s="63"/>
      <c r="G44" s="63"/>
      <c r="H44" s="63"/>
      <c r="I44" s="20"/>
      <c r="J44" s="80">
        <f>IF('Samstag Neben'!Q68="","",'Samstag Neben'!Q68)</f>
        <v>54</v>
      </c>
      <c r="K44" s="67" t="s">
        <v>27</v>
      </c>
      <c r="L44" s="78">
        <f>IF('Samstag Neben'!S68="","",'Samstag Neben'!S68)</f>
        <v>57</v>
      </c>
      <c r="M44" s="83" t="s">
        <v>29</v>
      </c>
      <c r="O44" s="40" t="s">
        <v>31</v>
      </c>
      <c r="P44" s="72"/>
      <c r="Q44" s="72"/>
      <c r="R44" s="72"/>
      <c r="S44" s="72"/>
      <c r="T44" s="72"/>
      <c r="U44" s="72"/>
      <c r="V44" s="72"/>
    </row>
    <row r="45" spans="2:22" ht="4.5" customHeight="1">
      <c r="B45" s="53"/>
      <c r="C45" s="106"/>
      <c r="D45" s="44"/>
      <c r="E45" s="44"/>
      <c r="F45" s="44"/>
      <c r="G45" s="44"/>
      <c r="H45" s="45"/>
      <c r="I45" s="44"/>
      <c r="J45" s="81"/>
      <c r="L45" s="79"/>
      <c r="M45" s="83"/>
      <c r="P45" s="25"/>
      <c r="Q45" s="25"/>
      <c r="R45" s="25"/>
      <c r="S45" s="25"/>
      <c r="T45" s="25"/>
      <c r="U45" s="25"/>
      <c r="V45" s="25"/>
    </row>
    <row r="46" spans="2:22" ht="17.25" customHeight="1">
      <c r="B46" s="73" t="str">
        <f>"S."&amp;A40&amp;"/"&amp;A42&amp;"      7./8. Pl."</f>
        <v>S.a/b      7./8. Pl.</v>
      </c>
      <c r="C46" s="107" t="str">
        <f>IF(M46="","",'Samstag Neben'!H69&amp;" : "&amp;'Samstag Neben'!L69)</f>
        <v>Haaner TB : TSV Kirchdorf</v>
      </c>
      <c r="D46" s="64"/>
      <c r="E46" s="65"/>
      <c r="F46" s="64"/>
      <c r="G46" s="64"/>
      <c r="H46" s="64"/>
      <c r="I46" s="69"/>
      <c r="J46" s="80">
        <f>IF('Samstag Neben'!Q69="","",'Samstag Neben'!Q69)</f>
        <v>34</v>
      </c>
      <c r="K46" s="67" t="s">
        <v>27</v>
      </c>
      <c r="L46" s="78">
        <f>IF('Samstag Neben'!S69="","",'Samstag Neben'!S69)</f>
        <v>36</v>
      </c>
      <c r="M46" s="83" t="s">
        <v>29</v>
      </c>
      <c r="O46" s="131">
        <v>1</v>
      </c>
      <c r="P46" s="132" t="str">
        <f>" "&amp;IF($J$60="","",IF(Sonntag!Q60&gt;Sonntag!S60,Sonntag!H60,Sonntag!L60))</f>
        <v> SF Ricklingen</v>
      </c>
      <c r="Q46" s="132"/>
      <c r="R46" s="132"/>
      <c r="S46" s="132"/>
      <c r="T46" s="132"/>
      <c r="U46" s="132"/>
      <c r="V46" s="133"/>
    </row>
    <row r="47" spans="2:22" ht="18" customHeight="1">
      <c r="B47" s="59" t="s">
        <v>32</v>
      </c>
      <c r="C47" s="106"/>
      <c r="D47" s="44"/>
      <c r="E47" s="44"/>
      <c r="F47" s="44"/>
      <c r="G47" s="44"/>
      <c r="H47" s="45"/>
      <c r="I47" s="44"/>
      <c r="J47" s="81"/>
      <c r="L47" s="79"/>
      <c r="M47" s="83"/>
      <c r="O47" s="84">
        <v>2</v>
      </c>
      <c r="P47" s="102" t="str">
        <f>" "&amp;IF($J$60="","",IF(Sonntag!Q60&lt;Sonntag!S60,Sonntag!H60,Sonntag!L60))</f>
        <v> TuS Ferndorf</v>
      </c>
      <c r="Q47" s="56"/>
      <c r="R47" s="56"/>
      <c r="S47" s="56"/>
      <c r="T47" s="56"/>
      <c r="U47" s="56"/>
      <c r="V47" s="74"/>
    </row>
    <row r="48" spans="1:22" ht="17.25" customHeight="1">
      <c r="A48" t="s">
        <v>33</v>
      </c>
      <c r="B48" s="66" t="str">
        <f>"2."&amp;+$C$4&amp;"  3."&amp;+$C$22</f>
        <v>2.Gruppe A  3.Gruppe B</v>
      </c>
      <c r="C48" s="104" t="str">
        <f>IF(M48="","",$AB$7&amp;" : "&amp;$AB$27)</f>
        <v>SF Ricklingen : VT Contwig</v>
      </c>
      <c r="D48" s="64"/>
      <c r="E48" s="65"/>
      <c r="F48" s="64"/>
      <c r="G48" s="64"/>
      <c r="H48" s="64"/>
      <c r="I48" s="69"/>
      <c r="J48" s="80">
        <f>IF(Sonntag!Q24="","",Sonntag!Q24)</f>
        <v>32</v>
      </c>
      <c r="K48" s="67" t="s">
        <v>27</v>
      </c>
      <c r="L48" s="78">
        <f>IF(Sonntag!S24="","",Sonntag!S24)</f>
        <v>31</v>
      </c>
      <c r="M48" s="83" t="s">
        <v>29</v>
      </c>
      <c r="O48" s="84">
        <v>3</v>
      </c>
      <c r="P48" s="86" t="str">
        <f>" "&amp;IF($J$58="","",IF(Sonntag!Q53&gt;Sonntag!S53,Sonntag!H53,Sonntag!L53))</f>
        <v> TV Viersen</v>
      </c>
      <c r="Q48" s="56"/>
      <c r="R48" s="56"/>
      <c r="S48" s="56"/>
      <c r="T48" s="56"/>
      <c r="U48" s="56"/>
      <c r="V48" s="74"/>
    </row>
    <row r="49" spans="2:22" ht="4.5" customHeight="1">
      <c r="B49" s="44"/>
      <c r="C49" s="106"/>
      <c r="D49" s="44"/>
      <c r="E49" s="44"/>
      <c r="F49" s="44"/>
      <c r="G49" s="44"/>
      <c r="H49" s="44"/>
      <c r="I49" s="44"/>
      <c r="J49" s="81"/>
      <c r="L49" s="79"/>
      <c r="M49" s="83"/>
      <c r="O49" s="84"/>
      <c r="P49" s="56"/>
      <c r="Q49" s="56"/>
      <c r="R49" s="56"/>
      <c r="S49" s="56"/>
      <c r="T49" s="56"/>
      <c r="U49" s="56"/>
      <c r="V49" s="74"/>
    </row>
    <row r="50" spans="1:22" ht="17.25" customHeight="1">
      <c r="A50" t="s">
        <v>34</v>
      </c>
      <c r="B50" s="66" t="str">
        <f>"2."&amp;+$C$22&amp;"  3."&amp;+$C$4</f>
        <v>2.Gruppe B  3.Gruppe A</v>
      </c>
      <c r="C50" s="104" t="str">
        <f>IF(M50="","",$AB$25&amp;" : "&amp;$AB$9)</f>
        <v>TuS Ferndorf : TSV Krumbach</v>
      </c>
      <c r="D50" s="64"/>
      <c r="E50" s="64"/>
      <c r="F50" s="64"/>
      <c r="G50" s="64"/>
      <c r="H50" s="65"/>
      <c r="I50" s="69"/>
      <c r="J50" s="80">
        <f>IF(Sonntag!Q25="","",Sonntag!Q25)</f>
        <v>36</v>
      </c>
      <c r="K50" s="67" t="s">
        <v>27</v>
      </c>
      <c r="L50" s="78">
        <f>IF(Sonntag!S25="","",Sonntag!S25)</f>
        <v>35</v>
      </c>
      <c r="M50" s="83" t="s">
        <v>29</v>
      </c>
      <c r="O50" s="84">
        <v>4</v>
      </c>
      <c r="P50" s="86" t="str">
        <f>" "&amp;IF($J$58="","",IF(Sonntag!Q53&lt;Sonntag!S53,Sonntag!H53,Sonntag!L53))</f>
        <v> SV Werder Bremen</v>
      </c>
      <c r="Q50" s="56"/>
      <c r="R50" s="56"/>
      <c r="S50" s="56"/>
      <c r="T50" s="56"/>
      <c r="U50" s="56"/>
      <c r="V50" s="74"/>
    </row>
    <row r="51" spans="2:22" ht="18" customHeight="1">
      <c r="B51" s="59" t="s">
        <v>35</v>
      </c>
      <c r="C51" s="106"/>
      <c r="D51" s="44"/>
      <c r="E51" s="44"/>
      <c r="F51" s="44"/>
      <c r="G51" s="44"/>
      <c r="H51" s="44"/>
      <c r="I51" s="44"/>
      <c r="J51" s="81"/>
      <c r="L51" s="79"/>
      <c r="M51" s="83"/>
      <c r="O51" s="84">
        <v>5</v>
      </c>
      <c r="P51" s="86" t="str">
        <f>" "&amp;IF($M$56="","",IF(Sonntag!Q47&gt;Sonntag!S47,Sonntag!H47,Sonntag!L47))</f>
        <v> TSV Krumbach</v>
      </c>
      <c r="Q51" s="56"/>
      <c r="R51" s="56"/>
      <c r="S51" s="56"/>
      <c r="T51" s="56"/>
      <c r="U51" s="56"/>
      <c r="V51" s="74"/>
    </row>
    <row r="52" spans="1:22" ht="17.25" customHeight="1">
      <c r="A52" t="s">
        <v>36</v>
      </c>
      <c r="B52" s="66" t="str">
        <f>"1."&amp;+$C$4&amp;"  Sieger "&amp;+$A$50</f>
        <v>1.Gruppe A  Sieger d</v>
      </c>
      <c r="C52" s="107" t="str">
        <f>IF(M52="","",$AB$5&amp;" : "&amp;Sonntag!L36)</f>
        <v>TV Viersen : TuS Ferndorf</v>
      </c>
      <c r="D52" s="64"/>
      <c r="E52" s="64"/>
      <c r="F52" s="64"/>
      <c r="G52" s="64"/>
      <c r="H52" s="65"/>
      <c r="I52" s="69"/>
      <c r="J52" s="80">
        <f>IF(Sonntag!Q36="","",Sonntag!Q36)</f>
        <v>35</v>
      </c>
      <c r="K52" s="67" t="s">
        <v>27</v>
      </c>
      <c r="L52" s="78">
        <f>IF(Sonntag!S36="","",Sonntag!S36)</f>
        <v>36</v>
      </c>
      <c r="M52" s="83" t="s">
        <v>29</v>
      </c>
      <c r="O52" s="84">
        <v>6</v>
      </c>
      <c r="P52" s="86" t="str">
        <f>" "&amp;IF($M$56="","",IF(Sonntag!Q47&lt;Sonntag!S47,Sonntag!H47,Sonntag!L47))</f>
        <v> VT Contwig</v>
      </c>
      <c r="Q52" s="56"/>
      <c r="R52" s="56"/>
      <c r="S52" s="56"/>
      <c r="T52" s="56"/>
      <c r="U52" s="56"/>
      <c r="V52" s="74"/>
    </row>
    <row r="53" spans="2:22" ht="4.5" customHeight="1">
      <c r="B53" s="45"/>
      <c r="C53" s="106"/>
      <c r="D53" s="44"/>
      <c r="E53" s="45"/>
      <c r="F53" s="44"/>
      <c r="G53" s="44"/>
      <c r="H53" s="44"/>
      <c r="I53" s="44"/>
      <c r="J53" s="81"/>
      <c r="L53" s="79"/>
      <c r="M53" s="83"/>
      <c r="O53" s="84"/>
      <c r="P53" s="56"/>
      <c r="Q53" s="56"/>
      <c r="R53" s="56"/>
      <c r="S53" s="56"/>
      <c r="T53" s="56"/>
      <c r="U53" s="56"/>
      <c r="V53" s="74"/>
    </row>
    <row r="54" spans="1:22" ht="17.25" customHeight="1">
      <c r="A54" t="s">
        <v>37</v>
      </c>
      <c r="B54" s="66" t="str">
        <f>"1."&amp;+$C$22&amp;"  Sieger "&amp;+$A$48</f>
        <v>1.Gruppe B  Sieger c</v>
      </c>
      <c r="C54" s="107" t="str">
        <f>IF(M54="","",$AB$23&amp;" : "&amp;Sonntag!L37)</f>
        <v>SV Werder Bremen : SF Ricklingen</v>
      </c>
      <c r="D54" s="64"/>
      <c r="E54" s="64"/>
      <c r="F54" s="64"/>
      <c r="G54" s="64"/>
      <c r="H54" s="64"/>
      <c r="I54" s="69"/>
      <c r="J54" s="80">
        <f>IF(Sonntag!Q37="","",Sonntag!Q37)</f>
        <v>38</v>
      </c>
      <c r="K54" s="67" t="s">
        <v>27</v>
      </c>
      <c r="L54" s="78">
        <f>IF(Sonntag!S37="","",Sonntag!S37)</f>
        <v>41</v>
      </c>
      <c r="M54" s="83" t="s">
        <v>29</v>
      </c>
      <c r="O54" s="84">
        <v>7</v>
      </c>
      <c r="P54" s="86" t="str">
        <f>" "&amp;IF($M$46="","",IF('Samstag Neben'!Q69&gt;'Samstag Neben'!S69,'Samstag Neben'!H69,'Samstag Neben'!L69))</f>
        <v> TSV Kirchdorf</v>
      </c>
      <c r="Q54" s="56"/>
      <c r="R54" s="56"/>
      <c r="S54" s="56"/>
      <c r="T54" s="56"/>
      <c r="U54" s="56"/>
      <c r="V54" s="74"/>
    </row>
    <row r="55" spans="2:22" ht="18" customHeight="1">
      <c r="B55" s="60" t="s">
        <v>38</v>
      </c>
      <c r="C55" s="106"/>
      <c r="D55" s="44"/>
      <c r="E55" s="45"/>
      <c r="F55" s="44"/>
      <c r="G55" s="44"/>
      <c r="H55" s="44"/>
      <c r="I55" s="44"/>
      <c r="J55" s="81"/>
      <c r="L55" s="79"/>
      <c r="M55" s="83"/>
      <c r="O55" s="84">
        <v>8</v>
      </c>
      <c r="P55" s="86" t="str">
        <f>" "&amp;IF($M$46="","",IF('Samstag Neben'!Q69&lt;'Samstag Neben'!S69,'Samstag Neben'!H69,'Samstag Neben'!L69))</f>
        <v> Haaner TB</v>
      </c>
      <c r="Q55" s="56"/>
      <c r="R55" s="56"/>
      <c r="S55" s="56"/>
      <c r="T55" s="56"/>
      <c r="U55" s="56"/>
      <c r="V55" s="74"/>
    </row>
    <row r="56" spans="2:22" ht="17.25" customHeight="1">
      <c r="B56" s="73" t="str">
        <f>"V."&amp;A48&amp;"/"&amp;A50&amp;"         5./6. Pl."</f>
        <v>V.c/d         5./6. Pl.</v>
      </c>
      <c r="C56" s="107" t="str">
        <f>IF(M56="","",IF(J48="","",Sonntag!H47)&amp;" : "&amp;IF(J50="","",Sonntag!L47))</f>
        <v>VT Contwig : TSV Krumbach</v>
      </c>
      <c r="D56" s="64"/>
      <c r="E56" s="64"/>
      <c r="F56" s="64"/>
      <c r="G56" s="64"/>
      <c r="H56" s="64"/>
      <c r="I56" s="69"/>
      <c r="J56" s="80">
        <f>IF(Sonntag!Q47="","",Sonntag!Q47)</f>
        <v>31</v>
      </c>
      <c r="K56" s="67" t="s">
        <v>27</v>
      </c>
      <c r="L56" s="78">
        <f>IF(Sonntag!S47="","",Sonntag!S47)</f>
        <v>36</v>
      </c>
      <c r="M56" s="83" t="s">
        <v>29</v>
      </c>
      <c r="O56" s="84">
        <v>9</v>
      </c>
      <c r="P56" s="86" t="str">
        <f>" "&amp;IF($M$44="","",IF('Samstag Neben'!Q68&gt;'Samstag Neben'!S68,'Samstag Neben'!H68,'Samstag Neben'!L68))</f>
        <v> SC Wentorf</v>
      </c>
      <c r="Q56" s="56"/>
      <c r="R56" s="56"/>
      <c r="S56" s="56"/>
      <c r="T56" s="56"/>
      <c r="U56" s="56"/>
      <c r="V56" s="74"/>
    </row>
    <row r="57" spans="2:22" ht="4.5" customHeight="1">
      <c r="B57" s="44"/>
      <c r="C57" s="106"/>
      <c r="D57" s="44"/>
      <c r="E57" s="44"/>
      <c r="F57" s="44"/>
      <c r="G57" s="44"/>
      <c r="H57" s="45"/>
      <c r="I57" s="44"/>
      <c r="J57" s="81"/>
      <c r="L57" s="79"/>
      <c r="M57" s="83"/>
      <c r="O57" s="84"/>
      <c r="P57" s="56"/>
      <c r="Q57" s="56"/>
      <c r="R57" s="56"/>
      <c r="S57" s="56"/>
      <c r="T57" s="56"/>
      <c r="U57" s="56"/>
      <c r="V57" s="74"/>
    </row>
    <row r="58" spans="2:22" ht="17.25" customHeight="1">
      <c r="B58" s="73" t="str">
        <f>"V."&amp;A52&amp;"/"&amp;A54&amp;"         3./4. Pl."</f>
        <v>V.e/f         3./4. Pl.</v>
      </c>
      <c r="C58" s="107" t="str">
        <f>IF(M58="","",IF(J52="","",Sonntag!H53)&amp;" : "&amp;IF(J54="","",Sonntag!L53))</f>
        <v>TV Viersen : SV Werder Bremen</v>
      </c>
      <c r="D58" s="64"/>
      <c r="E58" s="65"/>
      <c r="F58" s="64"/>
      <c r="G58" s="64"/>
      <c r="H58" s="64"/>
      <c r="I58" s="69"/>
      <c r="J58" s="80">
        <f>IF(Sonntag!Q53="","",Sonntag!Q53)</f>
        <v>40</v>
      </c>
      <c r="K58" s="67" t="s">
        <v>27</v>
      </c>
      <c r="L58" s="78">
        <f>IF(Sonntag!S53="","",Sonntag!S53)</f>
        <v>38</v>
      </c>
      <c r="M58" s="83" t="s">
        <v>29</v>
      </c>
      <c r="O58" s="85">
        <v>10</v>
      </c>
      <c r="P58" s="87" t="str">
        <f>" "&amp;IF($M$44="","",IF('Samstag Neben'!Q68&lt;'Samstag Neben'!S68,'Samstag Neben'!H68,'Samstag Neben'!L68))</f>
        <v> TV Edingen</v>
      </c>
      <c r="Q58" s="75"/>
      <c r="R58" s="75"/>
      <c r="S58" s="75"/>
      <c r="T58" s="75"/>
      <c r="U58" s="75"/>
      <c r="V58" s="76"/>
    </row>
    <row r="59" spans="2:13" ht="18" customHeight="1">
      <c r="B59" s="70" t="s">
        <v>39</v>
      </c>
      <c r="C59" s="105"/>
      <c r="D59" s="44"/>
      <c r="E59" s="44"/>
      <c r="F59" s="44"/>
      <c r="G59" s="25"/>
      <c r="H59" s="71"/>
      <c r="I59" s="25"/>
      <c r="J59" s="81"/>
      <c r="L59" s="79"/>
      <c r="M59" s="83"/>
    </row>
    <row r="60" spans="2:13" ht="17.25" customHeight="1">
      <c r="B60" s="73" t="str">
        <f>"S."&amp;A52&amp;"/"&amp;A54&amp;"         1./2. Pl."</f>
        <v>S.e/f         1./2. Pl.</v>
      </c>
      <c r="C60" s="107" t="str">
        <f>IF(M60="","",Sonntag!H60&amp;" : "&amp;Sonntag!L60)</f>
        <v>TuS Ferndorf : SF Ricklingen</v>
      </c>
      <c r="D60" s="63"/>
      <c r="E60" s="77"/>
      <c r="F60" s="63"/>
      <c r="G60" s="64"/>
      <c r="H60" s="64"/>
      <c r="I60" s="69"/>
      <c r="J60" s="80">
        <f>IF(Sonntag!Q60="","",Sonntag!Q60)</f>
        <v>34</v>
      </c>
      <c r="K60" s="67" t="s">
        <v>27</v>
      </c>
      <c r="L60" s="78">
        <f>IF(Sonntag!S60="","",Sonntag!S60)</f>
        <v>35</v>
      </c>
      <c r="M60" s="83" t="s">
        <v>29</v>
      </c>
    </row>
  </sheetData>
  <printOptions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&amp;R&amp;6&amp;F;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0"/>
  <sheetViews>
    <sheetView showGridLines="0" workbookViewId="0" topLeftCell="A18">
      <selection activeCell="B2" sqref="B2:V60"/>
    </sheetView>
  </sheetViews>
  <sheetFormatPr defaultColWidth="11.421875" defaultRowHeight="12.75" outlineLevelRow="1" outlineLevelCol="1"/>
  <cols>
    <col min="1" max="1" width="2.00390625" style="0" customWidth="1"/>
    <col min="2" max="2" width="6.8515625" style="0" customWidth="1"/>
    <col min="3" max="3" width="24.7109375" style="0" customWidth="1"/>
    <col min="4" max="4" width="4.00390625" style="0" customWidth="1"/>
    <col min="5" max="5" width="1.7109375" style="0" customWidth="1"/>
    <col min="6" max="7" width="4.00390625" style="0" customWidth="1"/>
    <col min="8" max="8" width="1.7109375" style="0" customWidth="1"/>
    <col min="9" max="10" width="4.00390625" style="0" customWidth="1"/>
    <col min="11" max="11" width="1.7109375" style="0" customWidth="1"/>
    <col min="12" max="13" width="4.00390625" style="0" customWidth="1"/>
    <col min="14" max="14" width="1.7109375" style="0" customWidth="1"/>
    <col min="15" max="16" width="4.00390625" style="0" customWidth="1"/>
    <col min="17" max="17" width="1.7109375" style="0" customWidth="1"/>
    <col min="18" max="19" width="4.00390625" style="0" customWidth="1"/>
    <col min="20" max="20" width="1.7109375" style="0" customWidth="1"/>
    <col min="21" max="21" width="4.00390625" style="0" customWidth="1"/>
    <col min="22" max="22" width="4.7109375" style="0" customWidth="1"/>
    <col min="23" max="23" width="6.57421875" style="0" hidden="1" customWidth="1" outlineLevel="1"/>
    <col min="24" max="24" width="4.00390625" style="0" customWidth="1" collapsed="1"/>
    <col min="25" max="25" width="4.8515625" style="0" customWidth="1"/>
    <col min="26" max="26" width="1.7109375" style="0" customWidth="1"/>
    <col min="27" max="28" width="4.00390625" style="0" customWidth="1"/>
    <col min="29" max="29" width="1.7109375" style="0" customWidth="1"/>
    <col min="30" max="30" width="4.00390625" style="0" customWidth="1"/>
  </cols>
  <sheetData>
    <row r="1" spans="1:22" ht="24.75" customHeight="1">
      <c r="A1" s="88"/>
      <c r="B1" s="89" t="str">
        <f>Daten!A1&amp;" "&amp;Daten!B1&amp;" "&amp;Daten!L1</f>
        <v>43. Deutsche Prellball Meisterschaften der Seniorinnen und Senioren 2006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21.75" customHeight="1">
      <c r="B2" s="125" t="s">
        <v>40</v>
      </c>
      <c r="C2" s="126"/>
      <c r="D2" s="57"/>
      <c r="E2" s="54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25" t="str">
        <f>+Daten!I19</f>
        <v>Männer 60</v>
      </c>
      <c r="S2" s="127"/>
      <c r="T2" s="127"/>
      <c r="U2" s="127"/>
      <c r="V2" s="126"/>
    </row>
    <row r="3" spans="2:22" ht="6.75" customHeight="1">
      <c r="B3" s="55"/>
      <c r="C3" s="56"/>
      <c r="D3" s="57"/>
      <c r="E3" s="54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6"/>
      <c r="V3" s="56"/>
    </row>
    <row r="4" spans="2:29" ht="12.75" customHeight="1">
      <c r="B4" s="128"/>
      <c r="C4" s="129" t="str">
        <f>+Daten!I20</f>
        <v>Gruppe L</v>
      </c>
      <c r="D4" s="47"/>
      <c r="E4" s="48" t="str">
        <f>+C5</f>
        <v>VfL Oldenburg</v>
      </c>
      <c r="F4" s="49"/>
      <c r="G4" s="19"/>
      <c r="H4" s="48" t="str">
        <f>+C7</f>
        <v>TV Bremen 1875</v>
      </c>
      <c r="I4" s="20"/>
      <c r="J4" s="19"/>
      <c r="K4" s="48" t="str">
        <f>+C9</f>
        <v>Eiserfelder TV</v>
      </c>
      <c r="L4" s="20"/>
      <c r="M4" s="19"/>
      <c r="N4" s="48" t="str">
        <f>+C11</f>
        <v>TSV Bayer Leverkusen</v>
      </c>
      <c r="O4" s="20"/>
      <c r="P4" s="19"/>
      <c r="Q4" s="50" t="str">
        <f>+C13</f>
        <v>TSG Eisenberg</v>
      </c>
      <c r="R4" s="20"/>
      <c r="S4" s="19"/>
      <c r="T4" s="51" t="s">
        <v>24</v>
      </c>
      <c r="U4" s="20"/>
      <c r="V4" s="52" t="s">
        <v>25</v>
      </c>
      <c r="AC4" s="61"/>
    </row>
    <row r="5" spans="2:28" ht="15" customHeight="1">
      <c r="B5" s="46" t="str">
        <f>IF(Daten!H21="","",Daten!H21)</f>
        <v>4.N</v>
      </c>
      <c r="C5" s="27" t="str">
        <f>IF(Daten!I21="","",Daten!I21)</f>
        <v>VfL Oldenburg</v>
      </c>
      <c r="D5" s="91"/>
      <c r="E5" s="92"/>
      <c r="F5" s="93"/>
      <c r="G5" s="30">
        <f>IF('Samstag Neben'!$Q22="","",'Samstag Neben'!$Q22)</f>
        <v>31</v>
      </c>
      <c r="H5" s="9" t="s">
        <v>27</v>
      </c>
      <c r="I5" s="31">
        <f>IF('Samstag Neben'!$S22="","",'Samstag Neben'!$S22)</f>
        <v>45</v>
      </c>
      <c r="J5" s="30">
        <f>IF('Samstag Neben'!$Q42="","",'Samstag Neben'!$Q42)</f>
        <v>33</v>
      </c>
      <c r="K5" s="9" t="s">
        <v>27</v>
      </c>
      <c r="L5" s="31">
        <f>IF('Samstag Neben'!$S42="","",'Samstag Neben'!$S42)</f>
        <v>46</v>
      </c>
      <c r="M5" s="30">
        <f>IF('Samstag Neben'!$Q54="","",'Samstag Neben'!$Q54)</f>
        <v>29</v>
      </c>
      <c r="N5" s="9" t="s">
        <v>27</v>
      </c>
      <c r="O5" s="31">
        <f>IF('Samstag Neben'!$S54="","",'Samstag Neben'!$S54)</f>
        <v>44</v>
      </c>
      <c r="P5" s="30">
        <f>IF('Samstag Neben'!$Q30="","",'Samstag Neben'!$Q30)</f>
        <v>31</v>
      </c>
      <c r="Q5" s="9" t="s">
        <v>27</v>
      </c>
      <c r="R5" s="31">
        <f>IF('Samstag Neben'!$S30="","",'Samstag Neben'!$S30)</f>
        <v>35</v>
      </c>
      <c r="S5" s="30">
        <f>IF(X6="","",SUM(D5,G5,J5,M5,P5))</f>
        <v>124</v>
      </c>
      <c r="T5" s="9" t="s">
        <v>27</v>
      </c>
      <c r="U5" s="31">
        <f>IF(X6="","",SUM(F5,I5,L5,O5,R5))</f>
        <v>170</v>
      </c>
      <c r="V5" s="26">
        <f>IF(X5="","",RANK(W6,($W$6,$W$8,$W$10,$W$12,$W$14),0))</f>
        <v>5</v>
      </c>
      <c r="X5" s="11" t="s">
        <v>29</v>
      </c>
      <c r="AA5">
        <v>1</v>
      </c>
      <c r="AB5" s="90" t="str">
        <f>IF(V5="","",IF($V$5=1,$C$5,IF($V$7=1,$C$7,IF($V$9=1,$C$9,IF($V$11=1,$C$11,IF($V$13=1,$C$13,0))))))</f>
        <v>Eiserfelder TV</v>
      </c>
    </row>
    <row r="6" spans="2:28" ht="10.5" customHeight="1">
      <c r="B6" s="100"/>
      <c r="C6" s="203"/>
      <c r="D6" s="94"/>
      <c r="E6" s="95"/>
      <c r="F6" s="96"/>
      <c r="G6" s="13">
        <f>IF(G5="","",IF(G5&gt;I5,2,IF(G5&lt;I5,0,1)))</f>
        <v>0</v>
      </c>
      <c r="H6" s="7" t="s">
        <v>28</v>
      </c>
      <c r="I6" s="14">
        <f>IF(I5="","",IF(I5&gt;G5,2,IF(I5&lt;G5,0,1)))</f>
        <v>2</v>
      </c>
      <c r="J6" s="13">
        <f>IF(J5="","",IF(J5&gt;L5,2,IF(J5&lt;L5,0,1)))</f>
        <v>0</v>
      </c>
      <c r="K6" s="7" t="s">
        <v>28</v>
      </c>
      <c r="L6" s="14">
        <f>IF(L5="","",IF(L5&gt;J5,2,IF(L5&lt;J5,0,1)))</f>
        <v>2</v>
      </c>
      <c r="M6" s="13">
        <f>IF(M5="","",IF(M5&gt;O5,2,IF(M5&lt;O5,0,1)))</f>
        <v>0</v>
      </c>
      <c r="N6" s="7" t="s">
        <v>28</v>
      </c>
      <c r="O6" s="14">
        <f>IF(O5="","",IF(O5&gt;M5,2,IF(O5&lt;M5,0,1)))</f>
        <v>2</v>
      </c>
      <c r="P6" s="13">
        <f>IF(P5="","",IF(P5&gt;R5,2,IF(P5&lt;R5,0,1)))</f>
        <v>0</v>
      </c>
      <c r="Q6" s="7" t="s">
        <v>28</v>
      </c>
      <c r="R6" s="14">
        <f>IF(R5="","",IF(R5&gt;P5,2,IF(R5&lt;P5,0,1)))</f>
        <v>2</v>
      </c>
      <c r="S6" s="13">
        <f>IF(X6="","",SUM(D6,G6,J6,M6,P6))</f>
        <v>0</v>
      </c>
      <c r="T6" s="7" t="s">
        <v>28</v>
      </c>
      <c r="U6" s="14">
        <f>IF(X6="","",SUM(F6,I6,L6,O6,R6))</f>
        <v>8</v>
      </c>
      <c r="V6" s="15"/>
      <c r="W6" s="16">
        <f>+(S6-U6)+S5/U5+S6</f>
        <v>-7.270588235294118</v>
      </c>
      <c r="X6" s="11" t="s">
        <v>29</v>
      </c>
      <c r="AB6" s="90"/>
    </row>
    <row r="7" spans="2:28" ht="15" customHeight="1">
      <c r="B7" s="46" t="str">
        <f>IF(Daten!H22="","",Daten!H22)</f>
        <v>2.N</v>
      </c>
      <c r="C7" s="27" t="str">
        <f>IF(Daten!I22="","",Daten!I22)</f>
        <v>TV Bremen 1875</v>
      </c>
      <c r="D7" s="30">
        <f>IF(I5="","",I5)</f>
        <v>45</v>
      </c>
      <c r="E7" s="9" t="s">
        <v>27</v>
      </c>
      <c r="F7" s="31">
        <f>IF(G5="","",G5)</f>
        <v>31</v>
      </c>
      <c r="G7" s="91"/>
      <c r="H7" s="92"/>
      <c r="I7" s="93"/>
      <c r="J7" s="30">
        <f>IF('Samstag Neben'!$Q34="","",'Samstag Neben'!$Q34)</f>
        <v>30</v>
      </c>
      <c r="K7" s="9" t="s">
        <v>27</v>
      </c>
      <c r="L7" s="31">
        <f>IF('Samstag Neben'!$S34="","",'Samstag Neben'!$S34)</f>
        <v>39</v>
      </c>
      <c r="M7" s="30">
        <f>IF('Samstag Neben'!$Q46="","",'Samstag Neben'!$Q46)</f>
        <v>28</v>
      </c>
      <c r="N7" s="9" t="s">
        <v>27</v>
      </c>
      <c r="O7" s="31">
        <f>IF('Samstag Neben'!$S46="","",'Samstag Neben'!$S46)</f>
        <v>40</v>
      </c>
      <c r="P7" s="30">
        <f>IF('Samstag Neben'!$Q58="","",'Samstag Neben'!$Q58)</f>
        <v>34</v>
      </c>
      <c r="Q7" s="9" t="s">
        <v>27</v>
      </c>
      <c r="R7" s="31">
        <f>IF('Samstag Neben'!$S58="","",'Samstag Neben'!$S58)</f>
        <v>31</v>
      </c>
      <c r="S7" s="8">
        <f>IF(X8="","",SUM(D7,G7,J7,M7,P7))</f>
        <v>137</v>
      </c>
      <c r="T7" s="9" t="s">
        <v>27</v>
      </c>
      <c r="U7" s="10">
        <f>IF(X8="","",SUM(F7,I7,L7,O7,R7))</f>
        <v>141</v>
      </c>
      <c r="V7" s="6">
        <f>IF(X7="","",RANK(W8,($W$6,$W$8,$W$10,$W$12,$W$14),0))</f>
        <v>3</v>
      </c>
      <c r="X7" s="11" t="s">
        <v>29</v>
      </c>
      <c r="AA7">
        <v>2</v>
      </c>
      <c r="AB7" s="90" t="str">
        <f>IF(V7="","",IF($V$5=2,$C$5,IF($V$7=2,$C$7,IF($V$9=2,$C$9,IF($V$11=2,$C$11,IF($V$13=2,$C$13,0))))))</f>
        <v>TSV Bayer Leverkusen</v>
      </c>
    </row>
    <row r="8" spans="2:28" ht="10.5" customHeight="1">
      <c r="B8" s="100"/>
      <c r="C8" s="203"/>
      <c r="D8" s="13">
        <f>IF(D7="","",IF(D7&gt;F7,2,IF(D7&lt;F7,0,1)))</f>
        <v>2</v>
      </c>
      <c r="E8" s="7" t="s">
        <v>28</v>
      </c>
      <c r="F8" s="14">
        <f>IF(F7="","",IF(F7&gt;D7,2,IF(F7&lt;D7,0,1)))</f>
        <v>0</v>
      </c>
      <c r="G8" s="94"/>
      <c r="H8" s="95"/>
      <c r="I8" s="96"/>
      <c r="J8" s="13">
        <f>IF(J7="","",IF(J7&gt;L7,2,IF(J7&lt;L7,0,1)))</f>
        <v>0</v>
      </c>
      <c r="K8" s="7" t="s">
        <v>28</v>
      </c>
      <c r="L8" s="14">
        <f>IF(L7="","",IF(L7&gt;J7,2,IF(L7&lt;J7,0,1)))</f>
        <v>2</v>
      </c>
      <c r="M8" s="13">
        <f>IF(M7="","",IF(M7&gt;O7,2,IF(M7&lt;O7,0,1)))</f>
        <v>0</v>
      </c>
      <c r="N8" s="7" t="s">
        <v>28</v>
      </c>
      <c r="O8" s="14">
        <f>IF(O7="","",IF(O7&gt;M7,2,IF(O7&lt;M7,0,1)))</f>
        <v>2</v>
      </c>
      <c r="P8" s="13">
        <f>IF(P7="","",IF(P7&gt;R7,2,IF(P7&lt;R7,0,1)))</f>
        <v>2</v>
      </c>
      <c r="Q8" s="7" t="s">
        <v>28</v>
      </c>
      <c r="R8" s="14">
        <f>IF(R7="","",IF(R7&gt;P7,2,IF(R7&lt;P7,0,1)))</f>
        <v>0</v>
      </c>
      <c r="S8" s="13">
        <f>IF(X8="","",SUM(D8,G8,J8,M8,P8))</f>
        <v>4</v>
      </c>
      <c r="T8" s="7" t="s">
        <v>28</v>
      </c>
      <c r="U8" s="14">
        <f>IF(X8="","",SUM(F8,I8,L8,O8,R8))</f>
        <v>4</v>
      </c>
      <c r="V8" s="15"/>
      <c r="W8" s="16">
        <f>+(S8-U8)+S7/U7+S8</f>
        <v>4.971631205673759</v>
      </c>
      <c r="X8" s="11" t="s">
        <v>29</v>
      </c>
      <c r="AB8" s="90"/>
    </row>
    <row r="9" spans="2:28" ht="15" customHeight="1">
      <c r="B9" s="46" t="str">
        <f>IF(Daten!H23="","",Daten!H23)</f>
        <v>3.W</v>
      </c>
      <c r="C9" s="27" t="str">
        <f>IF(Daten!I23="","",Daten!I23)</f>
        <v>Eiserfelder TV</v>
      </c>
      <c r="D9" s="30">
        <f>IF(L5="","",L5)</f>
        <v>46</v>
      </c>
      <c r="E9" s="9" t="s">
        <v>27</v>
      </c>
      <c r="F9" s="31">
        <f>IF(J5="","",J5)</f>
        <v>33</v>
      </c>
      <c r="G9" s="30">
        <f>IF(L7="","",L7)</f>
        <v>39</v>
      </c>
      <c r="H9" s="9" t="s">
        <v>27</v>
      </c>
      <c r="I9" s="31">
        <f>IF(J7="","",J7)</f>
        <v>30</v>
      </c>
      <c r="J9" s="91"/>
      <c r="K9" s="92"/>
      <c r="L9" s="93"/>
      <c r="M9" s="30">
        <f>IF('Samstag Neben'!$Q26="","",'Samstag Neben'!$Q26)</f>
        <v>41</v>
      </c>
      <c r="N9" s="9" t="s">
        <v>27</v>
      </c>
      <c r="O9" s="31">
        <f>IF('Samstag Neben'!$S26="","",'Samstag Neben'!$S26)</f>
        <v>35</v>
      </c>
      <c r="P9" s="30">
        <f>IF('Samstag Neben'!$Q50="","",'Samstag Neben'!$Q50)</f>
        <v>37</v>
      </c>
      <c r="Q9" s="9" t="s">
        <v>27</v>
      </c>
      <c r="R9" s="31">
        <f>IF('Samstag Neben'!$S50="","",'Samstag Neben'!$S50)</f>
        <v>30</v>
      </c>
      <c r="S9" s="8">
        <f>IF(X10="","",SUM(D9,G9,J9,M9,P9))</f>
        <v>163</v>
      </c>
      <c r="T9" s="9" t="s">
        <v>27</v>
      </c>
      <c r="U9" s="10">
        <f>IF(X10="","",SUM(F9,I9,L9,O9,R9))</f>
        <v>128</v>
      </c>
      <c r="V9" s="6">
        <f>IF(X9="","",RANK(W10,($W$6,$W$8,$W$10,$W$12,$W$14),0))</f>
        <v>1</v>
      </c>
      <c r="X9" s="11" t="s">
        <v>29</v>
      </c>
      <c r="AA9">
        <v>3</v>
      </c>
      <c r="AB9" s="90" t="str">
        <f>IF(V9="","",IF($V$5=3,$C$5,IF($V$7=3,$C$7,IF($V$9=3,$C$9,IF($V$11=3,$C$11,IF($V$13=3,$C$13,0))))))</f>
        <v>TV Bremen 1875</v>
      </c>
    </row>
    <row r="10" spans="2:28" ht="10.5" customHeight="1">
      <c r="B10" s="101"/>
      <c r="C10" s="203"/>
      <c r="D10" s="13">
        <f>IF(D9="","",IF(D9&gt;F9,2,IF(D9&lt;F9,0,1)))</f>
        <v>2</v>
      </c>
      <c r="E10" s="7" t="s">
        <v>28</v>
      </c>
      <c r="F10" s="14">
        <f>IF(F9="","",IF(F9&gt;D9,2,IF(F9&lt;D9,0,1)))</f>
        <v>0</v>
      </c>
      <c r="G10" s="13">
        <f>IF(G9="","",IF(G9&gt;I9,2,IF(G9&lt;I9,0,1)))</f>
        <v>2</v>
      </c>
      <c r="H10" s="7" t="s">
        <v>28</v>
      </c>
      <c r="I10" s="14">
        <f>IF(I9="","",IF(I9&gt;G9,2,IF(I9&lt;G9,0,1)))</f>
        <v>0</v>
      </c>
      <c r="J10" s="94"/>
      <c r="K10" s="95"/>
      <c r="L10" s="96"/>
      <c r="M10" s="13">
        <f>IF(M9="","",IF(M9&gt;O9,2,IF(M9&lt;O9,0,1)))</f>
        <v>2</v>
      </c>
      <c r="N10" s="7" t="s">
        <v>28</v>
      </c>
      <c r="O10" s="14">
        <f>IF(O9="","",IF(O9&gt;M9,2,IF(O9&lt;M9,0,1)))</f>
        <v>0</v>
      </c>
      <c r="P10" s="13">
        <f>IF(P9="","",IF(P9&gt;R9,2,IF(P9&lt;R9,0,1)))</f>
        <v>2</v>
      </c>
      <c r="Q10" s="7" t="s">
        <v>28</v>
      </c>
      <c r="R10" s="14">
        <f>IF(R9="","",IF(R9&gt;P9,2,IF(R9&lt;P9,0,1)))</f>
        <v>0</v>
      </c>
      <c r="S10" s="13">
        <f>IF(X10="","",SUM(D10,G10,J10,M10,P10))</f>
        <v>8</v>
      </c>
      <c r="T10" s="7" t="s">
        <v>28</v>
      </c>
      <c r="U10" s="14">
        <f>IF(X10="","",SUM(F10,I10,L10,O10,R10))</f>
        <v>0</v>
      </c>
      <c r="V10" s="15"/>
      <c r="W10" s="16">
        <f>+(S10-U10)+S9/U9+S10</f>
        <v>17.2734375</v>
      </c>
      <c r="X10" s="11" t="s">
        <v>29</v>
      </c>
      <c r="AB10" s="90"/>
    </row>
    <row r="11" spans="2:28" ht="15" customHeight="1">
      <c r="B11" s="46" t="str">
        <f>IF(Daten!H24="","",Daten!H24)</f>
        <v>1.W</v>
      </c>
      <c r="C11" s="27" t="str">
        <f>IF(Daten!I24="","",Daten!I24)</f>
        <v>TSV Bayer Leverkusen</v>
      </c>
      <c r="D11" s="30">
        <f>IF(O5="","",O5)</f>
        <v>44</v>
      </c>
      <c r="E11" s="9" t="s">
        <v>27</v>
      </c>
      <c r="F11" s="31">
        <f>IF(M5="","",M5)</f>
        <v>29</v>
      </c>
      <c r="G11" s="30">
        <f>IF(O7="","",O7)</f>
        <v>40</v>
      </c>
      <c r="H11" s="9" t="s">
        <v>27</v>
      </c>
      <c r="I11" s="31">
        <f>IF(M7="","",M7)</f>
        <v>28</v>
      </c>
      <c r="J11" s="30">
        <f>IF(O9="","",O9)</f>
        <v>35</v>
      </c>
      <c r="K11" s="9" t="s">
        <v>27</v>
      </c>
      <c r="L11" s="31">
        <f>IF(M9="","",M9)</f>
        <v>41</v>
      </c>
      <c r="M11" s="91"/>
      <c r="N11" s="92"/>
      <c r="O11" s="93"/>
      <c r="P11" s="30">
        <f>IF('Samstag Neben'!$Q38="","",'Samstag Neben'!$Q38)</f>
        <v>43</v>
      </c>
      <c r="Q11" s="9" t="s">
        <v>27</v>
      </c>
      <c r="R11" s="31">
        <f>IF('Samstag Neben'!$S38="","",'Samstag Neben'!$S38)</f>
        <v>34</v>
      </c>
      <c r="S11" s="8">
        <f>IF(X12="","",SUM(D11,G11,J11,M11,P11))</f>
        <v>162</v>
      </c>
      <c r="T11" s="9" t="s">
        <v>27</v>
      </c>
      <c r="U11" s="10">
        <f>IF(X12="","",SUM(F11,I11,L11,O11,R11))</f>
        <v>132</v>
      </c>
      <c r="V11" s="6">
        <f>IF(X11="","",RANK(W12,($W$6,$W$8,$W$10,$W$12,$W$14),0))</f>
        <v>2</v>
      </c>
      <c r="X11" s="11" t="s">
        <v>29</v>
      </c>
      <c r="AA11">
        <v>4</v>
      </c>
      <c r="AB11" s="90" t="str">
        <f>IF(V11="","",IF($V$5=4,$C$5,IF($V$7=4,$C$7,IF($V$9=4,$C$9,IF($V$11=4,$C$11,IF($V$13=4,$C$13,0))))))</f>
        <v>TSG Eisenberg</v>
      </c>
    </row>
    <row r="12" spans="2:28" ht="10.5" customHeight="1">
      <c r="B12" s="101"/>
      <c r="C12" s="203"/>
      <c r="D12" s="13">
        <f>IF(D11="","",IF(D11&gt;F11,2,IF(D11&lt;F11,0,1)))</f>
        <v>2</v>
      </c>
      <c r="E12" s="7" t="s">
        <v>28</v>
      </c>
      <c r="F12" s="14">
        <f>IF(F11="","",IF(F11&gt;D11,2,IF(F11&lt;D11,0,1)))</f>
        <v>0</v>
      </c>
      <c r="G12" s="13">
        <f>IF(G11="","",IF(G11&gt;I11,2,IF(G11&lt;I11,0,1)))</f>
        <v>2</v>
      </c>
      <c r="H12" s="7" t="s">
        <v>28</v>
      </c>
      <c r="I12" s="14">
        <f>IF(I11="","",IF(I11&gt;G11,2,IF(I11&lt;G11,0,1)))</f>
        <v>0</v>
      </c>
      <c r="J12" s="13">
        <f>IF(J11="","",IF(J11&gt;L11,2,IF(J11&lt;L11,0,1)))</f>
        <v>0</v>
      </c>
      <c r="K12" s="7" t="s">
        <v>28</v>
      </c>
      <c r="L12" s="14">
        <f>IF(L11="","",IF(L11&gt;J11,2,IF(L11&lt;J11,0,1)))</f>
        <v>2</v>
      </c>
      <c r="M12" s="94"/>
      <c r="N12" s="95"/>
      <c r="O12" s="96"/>
      <c r="P12" s="13">
        <f>IF(P11="","",IF(P11&gt;R11,2,IF(P11&lt;R11,0,1)))</f>
        <v>2</v>
      </c>
      <c r="Q12" s="7" t="s">
        <v>28</v>
      </c>
      <c r="R12" s="14">
        <f>IF(R11="","",IF(R11&gt;P11,2,IF(R11&lt;P11,0,1)))</f>
        <v>0</v>
      </c>
      <c r="S12" s="13">
        <f>IF(X12="","",SUM(D12,G12,J12,M12,P12))</f>
        <v>6</v>
      </c>
      <c r="T12" s="7" t="s">
        <v>28</v>
      </c>
      <c r="U12" s="14">
        <f>IF(X12="","",SUM(F12,I12,L12,O12,R12))</f>
        <v>2</v>
      </c>
      <c r="V12" s="15"/>
      <c r="W12" s="16">
        <f>+(S12-U12)+S11/U11+S12</f>
        <v>11.227272727272727</v>
      </c>
      <c r="X12" s="11" t="s">
        <v>29</v>
      </c>
      <c r="AB12" s="90"/>
    </row>
    <row r="13" spans="2:28" ht="15" customHeight="1">
      <c r="B13" s="46" t="str">
        <f>IF(Daten!H25="","",Daten!H25)</f>
        <v>1.S</v>
      </c>
      <c r="C13" s="27" t="str">
        <f>IF(Daten!I25="","",Daten!I25)</f>
        <v>TSG Eisenberg</v>
      </c>
      <c r="D13" s="30">
        <f>IF(R5="","",R5)</f>
        <v>35</v>
      </c>
      <c r="E13" s="9" t="s">
        <v>27</v>
      </c>
      <c r="F13" s="31">
        <f>IF(P5="","",P5)</f>
        <v>31</v>
      </c>
      <c r="G13" s="30">
        <f>IF(R7="","",R7)</f>
        <v>31</v>
      </c>
      <c r="H13" s="9" t="s">
        <v>27</v>
      </c>
      <c r="I13" s="31">
        <f>IF(P7="","",P7)</f>
        <v>34</v>
      </c>
      <c r="J13" s="30">
        <f>IF(R9="","",R9)</f>
        <v>30</v>
      </c>
      <c r="K13" s="9" t="s">
        <v>27</v>
      </c>
      <c r="L13" s="31">
        <f>IF(P9="","",P9)</f>
        <v>37</v>
      </c>
      <c r="M13" s="30">
        <f>IF(R11="","",R11)</f>
        <v>34</v>
      </c>
      <c r="N13" s="9" t="s">
        <v>27</v>
      </c>
      <c r="O13" s="31">
        <f>IF(P11="","",P11)</f>
        <v>43</v>
      </c>
      <c r="P13" s="91"/>
      <c r="Q13" s="92"/>
      <c r="R13" s="93"/>
      <c r="S13" s="8">
        <f>IF(X14="","",SUM(D13,G13,J13,M13,P13))</f>
        <v>130</v>
      </c>
      <c r="T13" s="9" t="s">
        <v>27</v>
      </c>
      <c r="U13" s="10">
        <f>IF(X14="","",SUM(F13,I13,L13,O13,R13))</f>
        <v>145</v>
      </c>
      <c r="V13" s="6">
        <f>IF(X13="","",RANK(W14,($W$6,$W$8,$W$10,$W$12,$W$14),0))</f>
        <v>4</v>
      </c>
      <c r="X13" s="11" t="s">
        <v>29</v>
      </c>
      <c r="AA13">
        <v>5</v>
      </c>
      <c r="AB13" s="90" t="str">
        <f>IF(V13="","",IF($V$5=5,$C$5,IF($V$7=5,$C$7,IF($V$9=5,$C$9,IF($V$11=5,$C$11,IF($V$13=5,$C$13,0))))))</f>
        <v>VfL Oldenburg</v>
      </c>
    </row>
    <row r="14" spans="2:24" ht="10.5" customHeight="1">
      <c r="B14" s="101"/>
      <c r="C14" s="203"/>
      <c r="D14" s="13">
        <f>IF(D13="","",IF(D13&gt;F13,2,IF(D13&lt;F13,0,1)))</f>
        <v>2</v>
      </c>
      <c r="E14" s="7" t="s">
        <v>28</v>
      </c>
      <c r="F14" s="14">
        <f>IF(F13="","",IF(F13&gt;D13,2,IF(F13&lt;D13,0,1)))</f>
        <v>0</v>
      </c>
      <c r="G14" s="13">
        <f>IF(G13="","",IF(G13&gt;I13,2,IF(G13&lt;I13,0,1)))</f>
        <v>0</v>
      </c>
      <c r="H14" s="7" t="s">
        <v>28</v>
      </c>
      <c r="I14" s="14">
        <f>IF(I13="","",IF(I13&gt;G13,2,IF(I13&lt;G13,0,1)))</f>
        <v>2</v>
      </c>
      <c r="J14" s="13">
        <f>IF(J13="","",IF(J13&gt;L13,2,IF(J13&lt;L13,0,1)))</f>
        <v>0</v>
      </c>
      <c r="K14" s="7" t="s">
        <v>28</v>
      </c>
      <c r="L14" s="14">
        <f>IF(L13="","",IF(L13&gt;J13,2,IF(L13&lt;J13,0,1)))</f>
        <v>2</v>
      </c>
      <c r="M14" s="13">
        <f>IF(M13="","",IF(M13&gt;O13,2,IF(M13&lt;O13,0,1)))</f>
        <v>0</v>
      </c>
      <c r="N14" s="7" t="s">
        <v>28</v>
      </c>
      <c r="O14" s="14">
        <f>IF(O13="","",IF(O13&gt;M13,2,IF(O13&lt;M13,0,1)))</f>
        <v>2</v>
      </c>
      <c r="P14" s="94"/>
      <c r="Q14" s="95"/>
      <c r="R14" s="96"/>
      <c r="S14" s="13">
        <f>IF(X14="","",SUM(D14,G14,J14,M14,P14))</f>
        <v>2</v>
      </c>
      <c r="T14" s="7" t="s">
        <v>28</v>
      </c>
      <c r="U14" s="14">
        <f>IF(X14="","",SUM(F14,I14,L14,O14,R14))</f>
        <v>6</v>
      </c>
      <c r="V14" s="15"/>
      <c r="W14" s="16">
        <f>+(S14-U14)+S13/U13+S14</f>
        <v>-1.103448275862069</v>
      </c>
      <c r="X14" s="11" t="s">
        <v>29</v>
      </c>
    </row>
    <row r="15" spans="2:24" ht="9.75" customHeight="1">
      <c r="B15" s="41"/>
      <c r="C15" s="41"/>
      <c r="D15" s="42"/>
      <c r="E15" s="9"/>
      <c r="F15" s="43"/>
      <c r="G15" s="42"/>
      <c r="H15" s="9"/>
      <c r="I15" s="43"/>
      <c r="J15" s="42"/>
      <c r="K15" s="9"/>
      <c r="L15" s="43"/>
      <c r="M15" s="42"/>
      <c r="N15" s="9"/>
      <c r="O15" s="43"/>
      <c r="P15" s="18"/>
      <c r="Q15" s="18"/>
      <c r="R15" s="18"/>
      <c r="S15" s="42"/>
      <c r="T15" s="9"/>
      <c r="U15" s="43"/>
      <c r="V15" s="5"/>
      <c r="W15" s="16"/>
      <c r="X15" s="11"/>
    </row>
    <row r="16" spans="2:24" ht="9.75" customHeight="1" outlineLevel="1">
      <c r="B16" s="103" t="s">
        <v>30</v>
      </c>
      <c r="C16" s="32" t="str">
        <f>+C5</f>
        <v>VfL Oldenburg</v>
      </c>
      <c r="D16" s="33"/>
      <c r="E16" s="142"/>
      <c r="F16" s="34"/>
      <c r="G16" s="35"/>
      <c r="H16" s="36" t="s">
        <v>27</v>
      </c>
      <c r="I16" s="37"/>
      <c r="J16" s="35"/>
      <c r="K16" s="36" t="s">
        <v>27</v>
      </c>
      <c r="L16" s="37"/>
      <c r="M16" s="35"/>
      <c r="N16" s="36" t="s">
        <v>27</v>
      </c>
      <c r="O16" s="37"/>
      <c r="P16" s="38"/>
      <c r="Q16" s="36" t="s">
        <v>27</v>
      </c>
      <c r="R16" s="110"/>
      <c r="S16" s="22"/>
      <c r="T16" s="23"/>
      <c r="U16" s="24"/>
      <c r="V16" s="25"/>
      <c r="W16" s="16"/>
      <c r="X16" s="11"/>
    </row>
    <row r="17" spans="2:24" ht="9.75" customHeight="1" outlineLevel="1">
      <c r="B17" s="21"/>
      <c r="C17" s="32" t="str">
        <f>+C7</f>
        <v>TV Bremen 1875</v>
      </c>
      <c r="D17" s="35">
        <f>IF(I16="","",I16)</f>
      </c>
      <c r="E17" s="36" t="s">
        <v>27</v>
      </c>
      <c r="F17" s="37">
        <f>IF(G16="","",G16)</f>
      </c>
      <c r="G17" s="33"/>
      <c r="H17" s="142"/>
      <c r="I17" s="34"/>
      <c r="J17" s="35"/>
      <c r="K17" s="36" t="s">
        <v>27</v>
      </c>
      <c r="L17" s="37"/>
      <c r="M17" s="35"/>
      <c r="N17" s="36" t="s">
        <v>27</v>
      </c>
      <c r="O17" s="37"/>
      <c r="P17" s="38"/>
      <c r="Q17" s="36" t="s">
        <v>27</v>
      </c>
      <c r="R17" s="110"/>
      <c r="S17" s="22"/>
      <c r="T17" s="23"/>
      <c r="U17" s="24"/>
      <c r="V17" s="25"/>
      <c r="W17" s="16"/>
      <c r="X17" s="11"/>
    </row>
    <row r="18" spans="2:24" ht="9.75" customHeight="1" outlineLevel="1">
      <c r="B18" s="21"/>
      <c r="C18" s="32" t="str">
        <f>+C9</f>
        <v>Eiserfelder TV</v>
      </c>
      <c r="D18" s="35">
        <f>IF(L16="","",L16)</f>
      </c>
      <c r="E18" s="36" t="s">
        <v>27</v>
      </c>
      <c r="F18" s="37">
        <f>IF(J16="","",J16)</f>
      </c>
      <c r="G18" s="35">
        <f>IF(L17="","",L17)</f>
      </c>
      <c r="H18" s="36" t="s">
        <v>27</v>
      </c>
      <c r="I18" s="37">
        <f>IF(J17="","",J17)</f>
      </c>
      <c r="J18" s="33"/>
      <c r="K18" s="142"/>
      <c r="L18" s="34"/>
      <c r="M18" s="35"/>
      <c r="N18" s="36" t="s">
        <v>27</v>
      </c>
      <c r="O18" s="37"/>
      <c r="P18" s="38"/>
      <c r="Q18" s="36" t="s">
        <v>27</v>
      </c>
      <c r="R18" s="110"/>
      <c r="S18" s="22"/>
      <c r="T18" s="23"/>
      <c r="U18" s="24"/>
      <c r="V18" s="25"/>
      <c r="W18" s="16"/>
      <c r="X18" s="11"/>
    </row>
    <row r="19" spans="2:24" ht="9.75" customHeight="1" outlineLevel="1">
      <c r="B19" s="21"/>
      <c r="C19" s="32" t="str">
        <f>+C11</f>
        <v>TSV Bayer Leverkusen</v>
      </c>
      <c r="D19" s="35">
        <f>IF(O16="","",O16)</f>
      </c>
      <c r="E19" s="36" t="s">
        <v>27</v>
      </c>
      <c r="F19" s="37">
        <f>IF(M16="","",M16)</f>
      </c>
      <c r="G19" s="35">
        <f>IF(O17="","",O17)</f>
      </c>
      <c r="H19" s="36" t="s">
        <v>27</v>
      </c>
      <c r="I19" s="37">
        <f>IF(M17="","",M17)</f>
      </c>
      <c r="J19" s="35">
        <f>IF(O18="","",O18)</f>
      </c>
      <c r="K19" s="36" t="s">
        <v>27</v>
      </c>
      <c r="L19" s="37">
        <f>IF(M18="","",M18)</f>
      </c>
      <c r="M19" s="33"/>
      <c r="N19" s="142"/>
      <c r="O19" s="34"/>
      <c r="P19" s="38"/>
      <c r="Q19" s="36" t="s">
        <v>27</v>
      </c>
      <c r="R19" s="110"/>
      <c r="S19" s="22"/>
      <c r="T19" s="23"/>
      <c r="U19" s="24"/>
      <c r="V19" s="25"/>
      <c r="W19" s="16"/>
      <c r="X19" s="11"/>
    </row>
    <row r="20" spans="2:24" ht="9.75" customHeight="1" outlineLevel="1">
      <c r="B20" s="21"/>
      <c r="C20" s="32" t="str">
        <f>+C13</f>
        <v>TSG Eisenberg</v>
      </c>
      <c r="D20" s="35">
        <f>IF(R16="","",R16)</f>
      </c>
      <c r="E20" s="36" t="s">
        <v>27</v>
      </c>
      <c r="F20" s="37">
        <f>IF(P16="","",P16)</f>
      </c>
      <c r="G20" s="35">
        <f>IF(R17="","",R17)</f>
      </c>
      <c r="H20" s="36" t="s">
        <v>27</v>
      </c>
      <c r="I20" s="37">
        <f>IF(P17="","",P17)</f>
      </c>
      <c r="J20" s="35">
        <f>IF(R18="","",R18)</f>
      </c>
      <c r="K20" s="36" t="s">
        <v>27</v>
      </c>
      <c r="L20" s="37">
        <f>IF(P18="","",P18)</f>
      </c>
      <c r="M20" s="35">
        <f>IF(R19="","",R19)</f>
      </c>
      <c r="N20" s="36" t="s">
        <v>27</v>
      </c>
      <c r="O20" s="37">
        <f>IF(P19="","",P19)</f>
      </c>
      <c r="P20" s="33"/>
      <c r="Q20" s="194"/>
      <c r="R20" s="34"/>
      <c r="S20" s="22"/>
      <c r="T20" s="23"/>
      <c r="U20" s="24"/>
      <c r="V20" s="25"/>
      <c r="W20" s="16"/>
      <c r="X20" s="11"/>
    </row>
    <row r="22" spans="2:22" ht="12.75" customHeight="1">
      <c r="B22" s="130"/>
      <c r="C22" s="69" t="str">
        <f>+Daten!L20</f>
        <v>Gruppe M</v>
      </c>
      <c r="D22" s="19"/>
      <c r="E22" s="48" t="str">
        <f>+C23</f>
        <v>TSV Burgdorf</v>
      </c>
      <c r="F22" s="20"/>
      <c r="G22" s="19"/>
      <c r="H22" s="48" t="str">
        <f>+C25</f>
        <v>SV Werder Bremen</v>
      </c>
      <c r="I22" s="20"/>
      <c r="J22" s="19"/>
      <c r="K22" s="48" t="str">
        <f>+C27</f>
        <v>TV Cramberg</v>
      </c>
      <c r="L22" s="20"/>
      <c r="M22" s="19"/>
      <c r="N22" s="48" t="str">
        <f>+C29</f>
        <v>TV Höheischweiler</v>
      </c>
      <c r="O22" s="20"/>
      <c r="P22" s="19"/>
      <c r="Q22" s="48" t="str">
        <f>+C31</f>
        <v>TV Niederschelden</v>
      </c>
      <c r="R22" s="20"/>
      <c r="S22" s="19"/>
      <c r="T22" s="51" t="s">
        <v>24</v>
      </c>
      <c r="U22" s="20"/>
      <c r="V22" s="52" t="s">
        <v>25</v>
      </c>
    </row>
    <row r="23" spans="2:28" ht="15" customHeight="1">
      <c r="B23" s="46" t="str">
        <f>IF(Daten!K21="","",Daten!K21)</f>
        <v>3.N</v>
      </c>
      <c r="C23" s="27" t="str">
        <f>IF(Daten!L21="","",Daten!L21)</f>
        <v>TSV Burgdorf</v>
      </c>
      <c r="D23" s="91"/>
      <c r="E23" s="92"/>
      <c r="F23" s="93"/>
      <c r="G23" s="30">
        <f>IF('Samstag Neben'!$Q23="","",'Samstag Neben'!$Q23)</f>
        <v>18</v>
      </c>
      <c r="H23" s="9" t="s">
        <v>27</v>
      </c>
      <c r="I23" s="31">
        <f>IF('Samstag Neben'!$S23="","",'Samstag Neben'!$S23)</f>
        <v>39</v>
      </c>
      <c r="J23" s="30">
        <f>IF('Samstag Neben'!$Q43="","",'Samstag Neben'!$Q43)</f>
        <v>26</v>
      </c>
      <c r="K23" s="9" t="s">
        <v>27</v>
      </c>
      <c r="L23" s="31">
        <f>IF('Samstag Neben'!$S43="","",'Samstag Neben'!$S43)</f>
        <v>33</v>
      </c>
      <c r="M23" s="30">
        <f>IF('Samstag Neben'!$Q55="","",'Samstag Neben'!$Q55)</f>
        <v>32</v>
      </c>
      <c r="N23" s="9" t="s">
        <v>27</v>
      </c>
      <c r="O23" s="31">
        <f>IF('Samstag Neben'!$S55="","",'Samstag Neben'!$S55)</f>
        <v>30</v>
      </c>
      <c r="P23" s="30">
        <f>IF('Samstag Neben'!$Q31="","",'Samstag Neben'!$Q31)</f>
        <v>30</v>
      </c>
      <c r="Q23" s="9" t="s">
        <v>27</v>
      </c>
      <c r="R23" s="31">
        <f>IF('Samstag Neben'!$S31="","",'Samstag Neben'!$S31)</f>
        <v>15</v>
      </c>
      <c r="S23" s="30">
        <f>IF(X24="","",SUM(D23,G23,J23,M23,P23))</f>
        <v>106</v>
      </c>
      <c r="T23" s="9" t="s">
        <v>27</v>
      </c>
      <c r="U23" s="31">
        <f>IF(X24="","",SUM(F23,I23,L23,O23,R23))</f>
        <v>117</v>
      </c>
      <c r="V23" s="26">
        <f>IF(X23="","",RANK(W24,($W$24,$W$26,$W$28,$W$30,$W$32),0))</f>
        <v>3</v>
      </c>
      <c r="X23" s="11" t="s">
        <v>29</v>
      </c>
      <c r="AA23">
        <v>1</v>
      </c>
      <c r="AB23" t="str">
        <f>IF(V23="","",IF($V$23=1,$C$23,IF($V$25=1,$C$25,IF($V$27=1,$C$27,IF($V$29=1,$C$29,IF($V$31=1,$C$31,0))))))</f>
        <v>SV Werder Bremen</v>
      </c>
    </row>
    <row r="24" spans="2:24" ht="10.5" customHeight="1">
      <c r="B24" s="97"/>
      <c r="C24" s="204"/>
      <c r="D24" s="94"/>
      <c r="E24" s="95"/>
      <c r="F24" s="96"/>
      <c r="G24" s="13">
        <f>IF(G23="","",IF(G23&gt;I23,2,IF(G23&lt;I23,0,1)))</f>
        <v>0</v>
      </c>
      <c r="H24" s="7" t="s">
        <v>28</v>
      </c>
      <c r="I24" s="14">
        <f>IF(I23="","",IF(I23&gt;G23,2,IF(I23&lt;G23,0,1)))</f>
        <v>2</v>
      </c>
      <c r="J24" s="13">
        <f>IF(J23="","",IF(J23&gt;L23,2,IF(J23&lt;L23,0,1)))</f>
        <v>0</v>
      </c>
      <c r="K24" s="7" t="s">
        <v>28</v>
      </c>
      <c r="L24" s="14">
        <f>IF(L23="","",IF(L23&gt;J23,2,IF(L23&lt;J23,0,1)))</f>
        <v>2</v>
      </c>
      <c r="M24" s="13">
        <f>IF(M23="","",IF(M23&gt;O23,2,IF(M23&lt;O23,0,1)))</f>
        <v>2</v>
      </c>
      <c r="N24" s="7" t="s">
        <v>28</v>
      </c>
      <c r="O24" s="14">
        <f>IF(O23="","",IF(O23&gt;M23,2,IF(O23&lt;M23,0,1)))</f>
        <v>0</v>
      </c>
      <c r="P24" s="13">
        <f>IF(P23="","",IF(P23&gt;R23,2,IF(P23&lt;R23,0,1)))</f>
        <v>2</v>
      </c>
      <c r="Q24" s="7" t="s">
        <v>28</v>
      </c>
      <c r="R24" s="14">
        <f>IF(R23="","",IF(R23&gt;P23,2,IF(R23&lt;P23,0,1)))</f>
        <v>0</v>
      </c>
      <c r="S24" s="13">
        <f>IF(X24="","",SUM(D24,G24,J24,M24,P24))</f>
        <v>4</v>
      </c>
      <c r="T24" s="7" t="s">
        <v>28</v>
      </c>
      <c r="U24" s="14">
        <f>IF(X24="","",SUM(F24,I24,L24,O24,R24))</f>
        <v>4</v>
      </c>
      <c r="V24" s="15"/>
      <c r="W24" s="16">
        <f>+(S24-U24)+S23/U23+S24</f>
        <v>4.905982905982906</v>
      </c>
      <c r="X24" s="11" t="s">
        <v>29</v>
      </c>
    </row>
    <row r="25" spans="2:28" ht="15" customHeight="1">
      <c r="B25" s="46" t="str">
        <f>IF(Daten!K22="","",Daten!K22)</f>
        <v>1.N</v>
      </c>
      <c r="C25" s="27" t="str">
        <f>IF(Daten!L22="","",Daten!L22)</f>
        <v>SV Werder Bremen</v>
      </c>
      <c r="D25" s="30">
        <f>IF(I23="","",I23)</f>
        <v>39</v>
      </c>
      <c r="E25" s="9" t="s">
        <v>27</v>
      </c>
      <c r="F25" s="31">
        <f>IF(G23="","",G23)</f>
        <v>18</v>
      </c>
      <c r="G25" s="91"/>
      <c r="H25" s="92"/>
      <c r="I25" s="93"/>
      <c r="J25" s="30">
        <f>IF('Samstag Neben'!$Q35="","",'Samstag Neben'!$Q35)</f>
        <v>38</v>
      </c>
      <c r="K25" s="9" t="s">
        <v>27</v>
      </c>
      <c r="L25" s="31">
        <f>IF('Samstag Neben'!$S35="","",'Samstag Neben'!$S35)</f>
        <v>30</v>
      </c>
      <c r="M25" s="30">
        <f>IF('Samstag Neben'!$Q47="","",'Samstag Neben'!$Q47)</f>
        <v>48</v>
      </c>
      <c r="N25" s="9" t="s">
        <v>27</v>
      </c>
      <c r="O25" s="31">
        <f>IF('Samstag Neben'!$S47="","",'Samstag Neben'!$S47)</f>
        <v>30</v>
      </c>
      <c r="P25" s="30">
        <f>IF('Samstag Neben'!$Q59="","",'Samstag Neben'!$Q59)</f>
        <v>30</v>
      </c>
      <c r="Q25" s="9" t="s">
        <v>27</v>
      </c>
      <c r="R25" s="31">
        <f>IF('Samstag Neben'!$S59="","",'Samstag Neben'!$S59)</f>
        <v>15</v>
      </c>
      <c r="S25" s="30">
        <f>IF(X26="","",SUM(D25,G25,J25,M25,P25))</f>
        <v>155</v>
      </c>
      <c r="T25" s="9" t="s">
        <v>27</v>
      </c>
      <c r="U25" s="31">
        <f>IF(X26="","",SUM(F25,I25,L25,O25,R25))</f>
        <v>93</v>
      </c>
      <c r="V25" s="26">
        <f>IF(X25="","",RANK(W26,($W$24,$W$26,$W$28,$W$30,$W$32),0))</f>
        <v>1</v>
      </c>
      <c r="X25" s="11" t="s">
        <v>29</v>
      </c>
      <c r="AA25">
        <v>2</v>
      </c>
      <c r="AB25" t="str">
        <f>IF(V25="","",IF($V$23=2,$C$23,IF($V$25=2,$C$25,IF($V$27=2,$C$27,IF($V$29=2,$C$29,IF($V$31=2,$C$31,0))))))</f>
        <v>TV Cramberg</v>
      </c>
    </row>
    <row r="26" spans="2:24" ht="10.5" customHeight="1">
      <c r="B26" s="97"/>
      <c r="C26" s="204"/>
      <c r="D26" s="13">
        <f>IF(D25="","",IF(D25&gt;F25,2,IF(D25&lt;F25,0,1)))</f>
        <v>2</v>
      </c>
      <c r="E26" s="7" t="s">
        <v>28</v>
      </c>
      <c r="F26" s="14">
        <f>IF(F25="","",IF(F25&gt;D25,2,IF(F25&lt;D25,0,1)))</f>
        <v>0</v>
      </c>
      <c r="G26" s="94"/>
      <c r="H26" s="95"/>
      <c r="I26" s="96"/>
      <c r="J26" s="13">
        <f>IF(J25="","",IF(J25&gt;L25,2,IF(J25&lt;L25,0,1)))</f>
        <v>2</v>
      </c>
      <c r="K26" s="7" t="s">
        <v>28</v>
      </c>
      <c r="L26" s="14">
        <f>IF(L25="","",IF(L25&gt;J25,2,IF(L25&lt;J25,0,1)))</f>
        <v>0</v>
      </c>
      <c r="M26" s="13">
        <f>IF(M25="","",IF(M25&gt;O25,2,IF(M25&lt;O25,0,1)))</f>
        <v>2</v>
      </c>
      <c r="N26" s="7" t="s">
        <v>28</v>
      </c>
      <c r="O26" s="14">
        <f>IF(O25="","",IF(O25&gt;M25,2,IF(O25&lt;M25,0,1)))</f>
        <v>0</v>
      </c>
      <c r="P26" s="13">
        <f>IF(P25="","",IF(P25&gt;R25,2,IF(P25&lt;R25,0,1)))</f>
        <v>2</v>
      </c>
      <c r="Q26" s="7" t="s">
        <v>28</v>
      </c>
      <c r="R26" s="14">
        <f>IF(R25="","",IF(R25&gt;P25,2,IF(R25&lt;P25,0,1)))</f>
        <v>0</v>
      </c>
      <c r="S26" s="13">
        <f>IF(X26="","",SUM(D26,G26,J26,M26,P26))</f>
        <v>8</v>
      </c>
      <c r="T26" s="7" t="s">
        <v>28</v>
      </c>
      <c r="U26" s="14">
        <f>IF(X26="","",SUM(F26,I26,L26,O26,R26))</f>
        <v>0</v>
      </c>
      <c r="V26" s="15"/>
      <c r="W26" s="16">
        <f>+(S26-U26)+S25/U25+S26</f>
        <v>17.666666666666664</v>
      </c>
      <c r="X26" s="11" t="s">
        <v>29</v>
      </c>
    </row>
    <row r="27" spans="2:28" ht="15" customHeight="1">
      <c r="B27" s="46" t="str">
        <f>IF(Daten!K23="","",Daten!K23)</f>
        <v>3.S</v>
      </c>
      <c r="C27" s="27" t="str">
        <f>IF(Daten!L23="","",Daten!L23)</f>
        <v>TV Cramberg</v>
      </c>
      <c r="D27" s="30">
        <f>IF(L23="","",L23)</f>
        <v>33</v>
      </c>
      <c r="E27" s="9" t="s">
        <v>27</v>
      </c>
      <c r="F27" s="31">
        <f>IF(J23="","",J23)</f>
        <v>26</v>
      </c>
      <c r="G27" s="30">
        <f>IF(L25="","",L25)</f>
        <v>30</v>
      </c>
      <c r="H27" s="9" t="s">
        <v>27</v>
      </c>
      <c r="I27" s="31">
        <f>IF(J25="","",J25)</f>
        <v>38</v>
      </c>
      <c r="J27" s="91"/>
      <c r="K27" s="92"/>
      <c r="L27" s="93"/>
      <c r="M27" s="30">
        <f>IF('Samstag Neben'!$Q27="","",'Samstag Neben'!$Q27)</f>
        <v>42</v>
      </c>
      <c r="N27" s="9" t="s">
        <v>27</v>
      </c>
      <c r="O27" s="31">
        <f>IF('Samstag Neben'!$S27="","",'Samstag Neben'!$S27)</f>
        <v>35</v>
      </c>
      <c r="P27" s="30">
        <f>IF('Samstag Neben'!$Q51="","",'Samstag Neben'!$Q51)</f>
        <v>30</v>
      </c>
      <c r="Q27" s="9" t="s">
        <v>27</v>
      </c>
      <c r="R27" s="31">
        <f>IF('Samstag Neben'!$S51="","",'Samstag Neben'!$S51)</f>
        <v>15</v>
      </c>
      <c r="S27" s="30">
        <f>IF(X28="","",SUM(D27,G27,J27,M27,P27))</f>
        <v>135</v>
      </c>
      <c r="T27" s="9" t="s">
        <v>27</v>
      </c>
      <c r="U27" s="31">
        <f>IF(X28="","",SUM(F27,I27,L27,O27,R27))</f>
        <v>114</v>
      </c>
      <c r="V27" s="6">
        <f>IF(X27="","",RANK(W28,($W$24,$W$26,$W$28,$W$30,$W$32),0))</f>
        <v>2</v>
      </c>
      <c r="X27" s="11" t="s">
        <v>29</v>
      </c>
      <c r="AA27">
        <v>3</v>
      </c>
      <c r="AB27" t="str">
        <f>IF(V27="","",IF($V$23=3,$C$23,IF($V$25=3,$C$25,IF($V$27=3,$C$27,IF($V$29=3,$C$29,IF($V$31=3,$C$31,0))))))</f>
        <v>TSV Burgdorf</v>
      </c>
    </row>
    <row r="28" spans="2:24" ht="10.5" customHeight="1">
      <c r="B28" s="98"/>
      <c r="C28" s="204"/>
      <c r="D28" s="13">
        <f>IF(D27="","",IF(D27&gt;F27,2,IF(D27&lt;F27,0,1)))</f>
        <v>2</v>
      </c>
      <c r="E28" s="7" t="s">
        <v>28</v>
      </c>
      <c r="F28" s="14">
        <f>IF(F27="","",IF(F27&gt;D27,2,IF(F27&lt;D27,0,1)))</f>
        <v>0</v>
      </c>
      <c r="G28" s="13">
        <f>IF(G27="","",IF(G27&gt;I27,2,IF(G27&lt;I27,0,1)))</f>
        <v>0</v>
      </c>
      <c r="H28" s="7" t="s">
        <v>28</v>
      </c>
      <c r="I28" s="14">
        <f>IF(I27="","",IF(I27&gt;G27,2,IF(I27&lt;G27,0,1)))</f>
        <v>2</v>
      </c>
      <c r="J28" s="94"/>
      <c r="K28" s="95"/>
      <c r="L28" s="96"/>
      <c r="M28" s="13">
        <f>IF(M27="","",IF(M27&gt;O27,2,IF(M27&lt;O27,0,1)))</f>
        <v>2</v>
      </c>
      <c r="N28" s="7" t="s">
        <v>28</v>
      </c>
      <c r="O28" s="14">
        <f>IF(O27="","",IF(O27&gt;M27,2,IF(O27&lt;M27,0,1)))</f>
        <v>0</v>
      </c>
      <c r="P28" s="13">
        <f>IF(P27="","",IF(P27&gt;R27,2,IF(P27&lt;R27,0,1)))</f>
        <v>2</v>
      </c>
      <c r="Q28" s="7" t="s">
        <v>28</v>
      </c>
      <c r="R28" s="14">
        <f>IF(R27="","",IF(R27&gt;P27,2,IF(R27&lt;P27,0,1)))</f>
        <v>0</v>
      </c>
      <c r="S28" s="13">
        <f>IF(X28="","",SUM(D28,G28,J28,M28,P28))</f>
        <v>6</v>
      </c>
      <c r="T28" s="7" t="s">
        <v>28</v>
      </c>
      <c r="U28" s="14">
        <f>IF(X28="","",SUM(F28,I28,L28,O28,R28))</f>
        <v>2</v>
      </c>
      <c r="V28" s="15"/>
      <c r="W28" s="16">
        <f>+(S28-U28)+S27/U27+S28</f>
        <v>11.18421052631579</v>
      </c>
      <c r="X28" s="11" t="s">
        <v>29</v>
      </c>
    </row>
    <row r="29" spans="2:28" ht="15" customHeight="1">
      <c r="B29" s="46" t="str">
        <f>IF(Daten!K24="","",Daten!K24)</f>
        <v>2.S</v>
      </c>
      <c r="C29" s="27" t="str">
        <f>IF(Daten!L24="","",Daten!L24)</f>
        <v>TV Höheischweiler</v>
      </c>
      <c r="D29" s="30">
        <f>IF(O23="","",O23)</f>
        <v>30</v>
      </c>
      <c r="E29" s="9" t="s">
        <v>27</v>
      </c>
      <c r="F29" s="31">
        <f>IF(M23="","",M23)</f>
        <v>32</v>
      </c>
      <c r="G29" s="30">
        <f>IF(O25="","",O25)</f>
        <v>30</v>
      </c>
      <c r="H29" s="9" t="s">
        <v>27</v>
      </c>
      <c r="I29" s="31">
        <f>IF(M25="","",M25)</f>
        <v>48</v>
      </c>
      <c r="J29" s="30">
        <f>IF(O27="","",O27)</f>
        <v>35</v>
      </c>
      <c r="K29" s="9" t="s">
        <v>27</v>
      </c>
      <c r="L29" s="31">
        <f>IF(M27="","",M27)</f>
        <v>42</v>
      </c>
      <c r="M29" s="91"/>
      <c r="N29" s="92"/>
      <c r="O29" s="93"/>
      <c r="P29" s="30">
        <f>IF('Samstag Neben'!$Q39="","",'Samstag Neben'!$Q39)</f>
        <v>30</v>
      </c>
      <c r="Q29" s="9" t="s">
        <v>27</v>
      </c>
      <c r="R29" s="31">
        <f>IF('Samstag Neben'!$S39="","",'Samstag Neben'!$S39)</f>
        <v>15</v>
      </c>
      <c r="S29" s="30">
        <f>IF(X30="","",SUM(D29,G29,J29,M29,P29))</f>
        <v>125</v>
      </c>
      <c r="T29" s="9" t="s">
        <v>27</v>
      </c>
      <c r="U29" s="31">
        <f>IF(X30="","",SUM(F29,I29,L29,O29,R29))</f>
        <v>137</v>
      </c>
      <c r="V29" s="26">
        <f>IF(X29="","",RANK(W30,($W$24,$W$26,$W$28,$W$30,$W$32),0))</f>
        <v>4</v>
      </c>
      <c r="X29" s="11" t="s">
        <v>29</v>
      </c>
      <c r="AA29">
        <v>4</v>
      </c>
      <c r="AB29" t="str">
        <f>IF(V29="","",IF($V$23=4,$C$23,IF($V$25=4,$C$25,IF($V$27=4,$C$27,IF($V$29=4,$C$29,IF($V$31=4,$C$31,0))))))</f>
        <v>TV Höheischweiler</v>
      </c>
    </row>
    <row r="30" spans="2:24" ht="10.5" customHeight="1">
      <c r="B30" s="97"/>
      <c r="C30" s="204"/>
      <c r="D30" s="13">
        <f>IF(D29="","",IF(D29&gt;F29,2,IF(D29&lt;F29,0,1)))</f>
        <v>0</v>
      </c>
      <c r="E30" s="7" t="s">
        <v>28</v>
      </c>
      <c r="F30" s="14">
        <f>IF(F29="","",IF(F29&gt;D29,2,IF(F29&lt;D29,0,1)))</f>
        <v>2</v>
      </c>
      <c r="G30" s="13">
        <f>IF(G29="","",IF(G29&gt;I29,2,IF(G29&lt;I29,0,1)))</f>
        <v>0</v>
      </c>
      <c r="H30" s="7" t="s">
        <v>28</v>
      </c>
      <c r="I30" s="14">
        <f>IF(I29="","",IF(I29&gt;G29,2,IF(I29&lt;G29,0,1)))</f>
        <v>2</v>
      </c>
      <c r="J30" s="13">
        <f>IF(J29="","",IF(J29&gt;L29,2,IF(J29&lt;L29,0,1)))</f>
        <v>0</v>
      </c>
      <c r="K30" s="7" t="s">
        <v>28</v>
      </c>
      <c r="L30" s="14">
        <f>IF(L29="","",IF(L29&gt;J29,2,IF(L29&lt;J29,0,1)))</f>
        <v>2</v>
      </c>
      <c r="M30" s="94"/>
      <c r="N30" s="95"/>
      <c r="O30" s="96"/>
      <c r="P30" s="13">
        <f>IF(P29="","",IF(P29&gt;R29,2,IF(P29&lt;R29,0,1)))</f>
        <v>2</v>
      </c>
      <c r="Q30" s="7" t="s">
        <v>28</v>
      </c>
      <c r="R30" s="14">
        <f>IF(R29="","",IF(R29&gt;P29,2,IF(R29&lt;P29,0,1)))</f>
        <v>0</v>
      </c>
      <c r="S30" s="13">
        <f>IF(X30="","",SUM(D30,G30,J30,M30,P30))</f>
        <v>2</v>
      </c>
      <c r="T30" s="7" t="s">
        <v>28</v>
      </c>
      <c r="U30" s="14">
        <f>IF(X30="","",SUM(F30,I30,L30,O30,R30))</f>
        <v>6</v>
      </c>
      <c r="V30" s="15"/>
      <c r="W30" s="16">
        <f>+(S30-U30)+S29/U29+S30</f>
        <v>-1.0875912408759123</v>
      </c>
      <c r="X30" s="11" t="s">
        <v>29</v>
      </c>
    </row>
    <row r="31" spans="2:28" ht="15" customHeight="1">
      <c r="B31" s="46" t="str">
        <f>IF(Daten!K25="","",Daten!K25)</f>
        <v>2.W</v>
      </c>
      <c r="C31" s="27" t="str">
        <f>IF(Daten!L25="","",Daten!L25)</f>
        <v>TV Niederschelden</v>
      </c>
      <c r="D31" s="30">
        <f>IF(R23="","",R23)</f>
        <v>15</v>
      </c>
      <c r="E31" s="9" t="s">
        <v>27</v>
      </c>
      <c r="F31" s="31">
        <f>IF(P23="","",P23)</f>
        <v>30</v>
      </c>
      <c r="G31" s="30">
        <f>IF(R25="","",R25)</f>
        <v>15</v>
      </c>
      <c r="H31" s="9" t="s">
        <v>27</v>
      </c>
      <c r="I31" s="31">
        <f>IF(P25="","",P25)</f>
        <v>30</v>
      </c>
      <c r="J31" s="30">
        <f>IF(R27="","",R27)</f>
        <v>15</v>
      </c>
      <c r="K31" s="9" t="s">
        <v>27</v>
      </c>
      <c r="L31" s="31">
        <f>IF(P27="","",P27)</f>
        <v>30</v>
      </c>
      <c r="M31" s="30">
        <f>IF(R29="","",R29)</f>
        <v>15</v>
      </c>
      <c r="N31" s="9" t="s">
        <v>27</v>
      </c>
      <c r="O31" s="31">
        <f>IF(P29="","",P29)</f>
        <v>30</v>
      </c>
      <c r="P31" s="91"/>
      <c r="Q31" s="92"/>
      <c r="R31" s="93"/>
      <c r="S31" s="30">
        <f>IF(X32="","",SUM(D31,G31,J31,M31,P31))</f>
        <v>60</v>
      </c>
      <c r="T31" s="9" t="s">
        <v>27</v>
      </c>
      <c r="U31" s="31">
        <f>IF(X32="","",SUM(F31,I31,L31,O31,R31))</f>
        <v>120</v>
      </c>
      <c r="V31" s="26">
        <f>IF(X31="","",RANK(W32,($W$24,$W$26,$W$28,$W$30,$W$32),0))</f>
        <v>5</v>
      </c>
      <c r="X31" s="11" t="s">
        <v>29</v>
      </c>
      <c r="AA31">
        <v>5</v>
      </c>
      <c r="AB31" t="str">
        <f>IF(V31="","",IF($V$23=5,$C$23,IF($V$25=5,$C$25,IF($V$27=5,$C$27,IF($V$29=5,$C$29,IF($V$31=5,$C$31,0))))))</f>
        <v>TV Niederschelden</v>
      </c>
    </row>
    <row r="32" spans="2:24" ht="10.5" customHeight="1">
      <c r="B32" s="98"/>
      <c r="C32" s="204"/>
      <c r="D32" s="13">
        <f>IF(D31="","",IF(D31&gt;F31,2,IF(D31&lt;F31,0,1)))</f>
        <v>0</v>
      </c>
      <c r="E32" s="7" t="s">
        <v>28</v>
      </c>
      <c r="F32" s="14">
        <f>IF(F31="","",IF(F31&gt;D31,2,IF(F31&lt;D31,0,1)))</f>
        <v>2</v>
      </c>
      <c r="G32" s="13">
        <f>IF(G31="","",IF(G31&gt;I31,2,IF(G31&lt;I31,0,1)))</f>
        <v>0</v>
      </c>
      <c r="H32" s="7" t="s">
        <v>28</v>
      </c>
      <c r="I32" s="14">
        <f>IF(I31="","",IF(I31&gt;G31,2,IF(I31&lt;G31,0,1)))</f>
        <v>2</v>
      </c>
      <c r="J32" s="13">
        <f>IF(J31="","",IF(J31&gt;L31,2,IF(J31&lt;L31,0,1)))</f>
        <v>0</v>
      </c>
      <c r="K32" s="7" t="s">
        <v>28</v>
      </c>
      <c r="L32" s="14">
        <f>IF(L31="","",IF(L31&gt;J31,2,IF(L31&lt;J31,0,1)))</f>
        <v>2</v>
      </c>
      <c r="M32" s="13">
        <f>IF(M31="","",IF(M31&gt;O31,2,IF(M31&lt;O31,0,1)))</f>
        <v>0</v>
      </c>
      <c r="N32" s="7" t="s">
        <v>28</v>
      </c>
      <c r="O32" s="14">
        <f>IF(O31="","",IF(O31&gt;M31,2,IF(O31&lt;M31,0,1)))</f>
        <v>2</v>
      </c>
      <c r="P32" s="94"/>
      <c r="Q32" s="95"/>
      <c r="R32" s="96"/>
      <c r="S32" s="13">
        <f>IF(X32="","",SUM(D32,G32,J32,M32,P32))</f>
        <v>0</v>
      </c>
      <c r="T32" s="7" t="s">
        <v>28</v>
      </c>
      <c r="U32" s="14">
        <f>IF(X32="","",SUM(F32,I32,L32,O32,R32))</f>
        <v>8</v>
      </c>
      <c r="V32" s="15"/>
      <c r="W32" s="16">
        <f>+(S32-U32)+S31/U31+S32</f>
        <v>-7.5</v>
      </c>
      <c r="X32" s="11" t="s">
        <v>29</v>
      </c>
    </row>
    <row r="33" spans="2:24" ht="9.75" customHeight="1">
      <c r="B33" s="108"/>
      <c r="C33" s="41"/>
      <c r="D33" s="42"/>
      <c r="E33" s="9"/>
      <c r="F33" s="43"/>
      <c r="G33" s="42"/>
      <c r="H33" s="9"/>
      <c r="I33" s="43"/>
      <c r="J33" s="42"/>
      <c r="K33" s="9"/>
      <c r="L33" s="43"/>
      <c r="M33" s="42"/>
      <c r="N33" s="9"/>
      <c r="O33" s="43"/>
      <c r="P33" s="18"/>
      <c r="Q33" s="18"/>
      <c r="R33" s="18"/>
      <c r="S33" s="42"/>
      <c r="T33" s="9"/>
      <c r="U33" s="43"/>
      <c r="V33" s="5"/>
      <c r="W33" s="16"/>
      <c r="X33" s="11" t="s">
        <v>29</v>
      </c>
    </row>
    <row r="34" spans="2:24" ht="9.75" customHeight="1" outlineLevel="1">
      <c r="B34" s="103" t="s">
        <v>30</v>
      </c>
      <c r="C34" s="32" t="str">
        <f>+C23</f>
        <v>TSV Burgdorf</v>
      </c>
      <c r="D34" s="33"/>
      <c r="E34" s="142"/>
      <c r="F34" s="34"/>
      <c r="G34" s="35"/>
      <c r="H34" s="36" t="s">
        <v>27</v>
      </c>
      <c r="I34" s="37"/>
      <c r="J34" s="35"/>
      <c r="K34" s="36" t="s">
        <v>27</v>
      </c>
      <c r="L34" s="37"/>
      <c r="M34" s="35"/>
      <c r="N34" s="36" t="s">
        <v>27</v>
      </c>
      <c r="O34" s="37"/>
      <c r="P34" s="38"/>
      <c r="Q34" s="36" t="s">
        <v>27</v>
      </c>
      <c r="R34" s="110"/>
      <c r="S34" s="22"/>
      <c r="T34" s="23"/>
      <c r="U34" s="24"/>
      <c r="V34" s="25"/>
      <c r="W34" s="16"/>
      <c r="X34" s="11"/>
    </row>
    <row r="35" spans="2:24" ht="9.75" customHeight="1" outlineLevel="1">
      <c r="B35" s="21"/>
      <c r="C35" s="32" t="str">
        <f>+C25</f>
        <v>SV Werder Bremen</v>
      </c>
      <c r="D35" s="35">
        <f>IF(I34="","",I34)</f>
      </c>
      <c r="E35" s="36" t="s">
        <v>27</v>
      </c>
      <c r="F35" s="37">
        <f>IF(G34="","",G34)</f>
      </c>
      <c r="G35" s="33"/>
      <c r="H35" s="142"/>
      <c r="I35" s="34"/>
      <c r="J35" s="35"/>
      <c r="K35" s="36" t="s">
        <v>27</v>
      </c>
      <c r="L35" s="37"/>
      <c r="M35" s="35"/>
      <c r="N35" s="36" t="s">
        <v>27</v>
      </c>
      <c r="O35" s="37"/>
      <c r="P35" s="38"/>
      <c r="Q35" s="36" t="s">
        <v>27</v>
      </c>
      <c r="R35" s="110"/>
      <c r="S35" s="22"/>
      <c r="T35" s="23"/>
      <c r="U35" s="24"/>
      <c r="V35" s="25"/>
      <c r="W35" s="16"/>
      <c r="X35" s="11"/>
    </row>
    <row r="36" spans="2:24" ht="9.75" customHeight="1" outlineLevel="1">
      <c r="B36" s="21"/>
      <c r="C36" s="32" t="str">
        <f>+C27</f>
        <v>TV Cramberg</v>
      </c>
      <c r="D36" s="35">
        <f>IF(L34="","",L34)</f>
      </c>
      <c r="E36" s="36" t="s">
        <v>27</v>
      </c>
      <c r="F36" s="37">
        <f>IF(J34="","",J34)</f>
      </c>
      <c r="G36" s="35">
        <f>IF(L35="","",L35)</f>
      </c>
      <c r="H36" s="36" t="s">
        <v>27</v>
      </c>
      <c r="I36" s="37">
        <f>IF(J35="","",J35)</f>
      </c>
      <c r="J36" s="33"/>
      <c r="K36" s="142"/>
      <c r="L36" s="34"/>
      <c r="M36" s="35"/>
      <c r="N36" s="36" t="s">
        <v>27</v>
      </c>
      <c r="O36" s="37"/>
      <c r="P36" s="38"/>
      <c r="Q36" s="36" t="s">
        <v>27</v>
      </c>
      <c r="R36" s="110"/>
      <c r="S36" s="22"/>
      <c r="T36" s="23"/>
      <c r="U36" s="24"/>
      <c r="V36" s="25"/>
      <c r="W36" s="16"/>
      <c r="X36" s="11"/>
    </row>
    <row r="37" spans="2:24" ht="9.75" customHeight="1" outlineLevel="1">
      <c r="B37" s="21"/>
      <c r="C37" s="32" t="str">
        <f>+C29</f>
        <v>TV Höheischweiler</v>
      </c>
      <c r="D37" s="35">
        <f>IF(O34="","",O34)</f>
      </c>
      <c r="E37" s="36" t="s">
        <v>27</v>
      </c>
      <c r="F37" s="37">
        <f>IF(M34="","",M34)</f>
      </c>
      <c r="G37" s="35">
        <f>IF(O35="","",O35)</f>
      </c>
      <c r="H37" s="36" t="s">
        <v>27</v>
      </c>
      <c r="I37" s="37">
        <f>IF(M35="","",M35)</f>
      </c>
      <c r="J37" s="35">
        <f>IF(O36="","",O36)</f>
      </c>
      <c r="K37" s="36" t="s">
        <v>27</v>
      </c>
      <c r="L37" s="37">
        <f>IF(M36="","",M36)</f>
      </c>
      <c r="M37" s="33"/>
      <c r="N37" s="142"/>
      <c r="O37" s="34"/>
      <c r="P37" s="38"/>
      <c r="Q37" s="36" t="s">
        <v>27</v>
      </c>
      <c r="R37" s="110"/>
      <c r="S37" s="22"/>
      <c r="T37" s="23"/>
      <c r="U37" s="24"/>
      <c r="V37" s="25"/>
      <c r="W37" s="16"/>
      <c r="X37" s="11"/>
    </row>
    <row r="38" spans="3:18" ht="9.75" customHeight="1" outlineLevel="1">
      <c r="C38" s="32" t="str">
        <f>+C31</f>
        <v>TV Niederschelden</v>
      </c>
      <c r="D38" s="35">
        <f>IF(R34="","",R34)</f>
      </c>
      <c r="E38" s="36" t="s">
        <v>27</v>
      </c>
      <c r="F38" s="37">
        <f>IF(P34="","",P34)</f>
      </c>
      <c r="G38" s="35">
        <f>IF(R35="","",R35)</f>
      </c>
      <c r="H38" s="36" t="s">
        <v>27</v>
      </c>
      <c r="I38" s="37">
        <f>IF(P35="","",P35)</f>
      </c>
      <c r="J38" s="35">
        <f>IF(R36="","",R36)</f>
      </c>
      <c r="K38" s="36" t="s">
        <v>27</v>
      </c>
      <c r="L38" s="37">
        <f>IF(P36="","",P36)</f>
      </c>
      <c r="M38" s="35">
        <f>IF(R37="","",R37)</f>
      </c>
      <c r="N38" s="36" t="s">
        <v>27</v>
      </c>
      <c r="O38" s="37">
        <f>IF(P37="","",P37)</f>
      </c>
      <c r="P38" s="33"/>
      <c r="Q38" s="142"/>
      <c r="R38" s="34"/>
    </row>
    <row r="39" ht="18" customHeight="1">
      <c r="B39" s="58" t="s">
        <v>57</v>
      </c>
    </row>
    <row r="40" spans="1:15" ht="17.25" customHeight="1">
      <c r="A40" t="s">
        <v>42</v>
      </c>
      <c r="B40" s="66" t="str">
        <f>"4."&amp;+$C$4&amp;"  5."&amp;+$C$22</f>
        <v>4.Gruppe L  5.Gruppe M</v>
      </c>
      <c r="C40" s="104" t="str">
        <f>IF(M40="","",$AB$11&amp;" : "&amp;$AB$31)</f>
        <v>TSG Eisenberg : TV Niederschelden</v>
      </c>
      <c r="D40" s="64"/>
      <c r="E40" s="64"/>
      <c r="F40" s="64"/>
      <c r="G40" s="64"/>
      <c r="H40" s="65"/>
      <c r="I40" s="69"/>
      <c r="J40" s="80">
        <f>IF('Samstag Neben'!Q62="","",'Samstag Neben'!Q62)</f>
        <v>30</v>
      </c>
      <c r="K40" s="67" t="s">
        <v>27</v>
      </c>
      <c r="L40" s="78">
        <f>IF('Samstag Neben'!S62="","",'Samstag Neben'!S62)</f>
        <v>15</v>
      </c>
      <c r="M40" s="82" t="s">
        <v>29</v>
      </c>
      <c r="N40" s="68"/>
      <c r="O40" s="56"/>
    </row>
    <row r="41" spans="1:13" ht="4.5" customHeight="1">
      <c r="A41" s="25"/>
      <c r="B41" s="62"/>
      <c r="C41" s="135"/>
      <c r="D41" s="44"/>
      <c r="E41" s="45"/>
      <c r="F41" s="44"/>
      <c r="G41" s="44"/>
      <c r="H41" s="44"/>
      <c r="I41" s="44"/>
      <c r="J41" s="81"/>
      <c r="L41" s="79"/>
      <c r="M41" s="83"/>
    </row>
    <row r="42" spans="1:14" ht="17.25" customHeight="1">
      <c r="A42" t="s">
        <v>43</v>
      </c>
      <c r="B42" s="66" t="str">
        <f>"4."&amp;+$C$22&amp;"  5."&amp;+$C$4</f>
        <v>4.Gruppe M  5.Gruppe L</v>
      </c>
      <c r="C42" s="104" t="str">
        <f>IF(M42="","",$AB$29&amp;" : "&amp;$AB$13)</f>
        <v>TV Höheischweiler : VfL Oldenburg</v>
      </c>
      <c r="D42" s="63"/>
      <c r="E42" s="63"/>
      <c r="F42" s="63"/>
      <c r="G42" s="63"/>
      <c r="H42" s="63"/>
      <c r="I42" s="20"/>
      <c r="J42" s="80">
        <f>IF('Samstag Neben'!Q63="","",'Samstag Neben'!Q63)</f>
        <v>29</v>
      </c>
      <c r="K42" s="67" t="s">
        <v>27</v>
      </c>
      <c r="L42" s="78">
        <f>IF('Samstag Neben'!S63="","",'Samstag Neben'!S63)</f>
        <v>44</v>
      </c>
      <c r="M42" s="82" t="s">
        <v>29</v>
      </c>
      <c r="N42" s="68"/>
    </row>
    <row r="43" spans="2:22" ht="18" customHeight="1">
      <c r="B43" s="59" t="s">
        <v>58</v>
      </c>
      <c r="C43" s="136"/>
      <c r="D43" s="44"/>
      <c r="E43" s="45"/>
      <c r="F43" s="44"/>
      <c r="G43" s="44"/>
      <c r="H43" s="44"/>
      <c r="I43" s="44"/>
      <c r="J43" s="81"/>
      <c r="L43" s="79"/>
      <c r="M43" s="83"/>
      <c r="P43" s="25"/>
      <c r="Q43" s="25"/>
      <c r="R43" s="25"/>
      <c r="S43" s="25"/>
      <c r="T43" s="25"/>
      <c r="U43" s="25"/>
      <c r="V43" s="25"/>
    </row>
    <row r="44" spans="2:22" ht="17.25" customHeight="1">
      <c r="B44" s="73" t="str">
        <f>"V."&amp;A40&amp;"/"&amp;A42&amp;"      9./10. Pl."</f>
        <v>V.a/b      9./10. Pl.</v>
      </c>
      <c r="C44" s="137" t="str">
        <f>IF(M44="","",'Samstag Neben'!H66&amp;" : "&amp;'Samstag Neben'!L66)</f>
        <v>TV Niederschelden : TV Höheischweiler</v>
      </c>
      <c r="D44" s="63"/>
      <c r="E44" s="63"/>
      <c r="F44" s="63"/>
      <c r="G44" s="63"/>
      <c r="H44" s="63"/>
      <c r="I44" s="20"/>
      <c r="J44" s="80">
        <f>IF('Samstag Neben'!Q66="","",'Samstag Neben'!Q66)</f>
        <v>15</v>
      </c>
      <c r="K44" s="67" t="s">
        <v>27</v>
      </c>
      <c r="L44" s="78">
        <f>IF('Samstag Neben'!S66="","",'Samstag Neben'!S66)</f>
        <v>30</v>
      </c>
      <c r="M44" s="83" t="s">
        <v>29</v>
      </c>
      <c r="O44" s="40" t="s">
        <v>31</v>
      </c>
      <c r="P44" s="72"/>
      <c r="Q44" s="72"/>
      <c r="R44" s="72"/>
      <c r="S44" s="72"/>
      <c r="T44" s="72"/>
      <c r="U44" s="72"/>
      <c r="V44" s="72"/>
    </row>
    <row r="45" spans="2:22" ht="4.5" customHeight="1">
      <c r="B45" s="53"/>
      <c r="C45" s="136"/>
      <c r="D45" s="44"/>
      <c r="E45" s="44"/>
      <c r="F45" s="44"/>
      <c r="G45" s="44"/>
      <c r="H45" s="45"/>
      <c r="I45" s="44"/>
      <c r="J45" s="81"/>
      <c r="L45" s="79"/>
      <c r="M45" s="83"/>
      <c r="P45" s="25"/>
      <c r="Q45" s="25"/>
      <c r="R45" s="25"/>
      <c r="S45" s="25"/>
      <c r="T45" s="25"/>
      <c r="U45" s="25"/>
      <c r="V45" s="25"/>
    </row>
    <row r="46" spans="2:22" ht="17.25" customHeight="1">
      <c r="B46" s="73" t="str">
        <f>"S."&amp;A40&amp;"/"&amp;A42&amp;"      7./8. Pl."</f>
        <v>S.a/b      7./8. Pl.</v>
      </c>
      <c r="C46" s="137" t="str">
        <f>IF(M46="","",'Samstag Neben'!H67&amp;" : "&amp;'Samstag Neben'!L67)</f>
        <v>TSG Eisenberg : VfL Oldenburg</v>
      </c>
      <c r="D46" s="64"/>
      <c r="E46" s="65"/>
      <c r="F46" s="64"/>
      <c r="G46" s="64"/>
      <c r="H46" s="64"/>
      <c r="I46" s="69"/>
      <c r="J46" s="80">
        <f>IF('Samstag Neben'!Q67="","",'Samstag Neben'!Q67)</f>
        <v>38</v>
      </c>
      <c r="K46" s="67" t="s">
        <v>27</v>
      </c>
      <c r="L46" s="78">
        <f>IF('Samstag Neben'!S67="","",'Samstag Neben'!S67)</f>
        <v>37</v>
      </c>
      <c r="M46" s="83" t="s">
        <v>29</v>
      </c>
      <c r="O46" s="131">
        <v>1</v>
      </c>
      <c r="P46" s="132" t="str">
        <f>" "&amp;IF(J60="","",IF(Sonntag!Q59&gt;Sonntag!S59,Sonntag!H59,Sonntag!L59))</f>
        <v> Eiserfelder TV</v>
      </c>
      <c r="Q46" s="132"/>
      <c r="R46" s="132"/>
      <c r="S46" s="132"/>
      <c r="T46" s="132"/>
      <c r="U46" s="132"/>
      <c r="V46" s="133"/>
    </row>
    <row r="47" spans="2:22" ht="18" customHeight="1">
      <c r="B47" s="59" t="s">
        <v>32</v>
      </c>
      <c r="C47" s="136"/>
      <c r="D47" s="44"/>
      <c r="E47" s="44"/>
      <c r="F47" s="44"/>
      <c r="G47" s="44"/>
      <c r="H47" s="45"/>
      <c r="I47" s="44"/>
      <c r="J47" s="81"/>
      <c r="L47" s="79"/>
      <c r="M47" s="83"/>
      <c r="O47" s="84">
        <v>2</v>
      </c>
      <c r="P47" s="102" t="str">
        <f>" "&amp;IF(J60="","",IF(Sonntag!Q59&lt;Sonntag!S59,Sonntag!H59,Sonntag!L59))</f>
        <v> TSV Bayer Leverkusen</v>
      </c>
      <c r="Q47" s="56"/>
      <c r="R47" s="56"/>
      <c r="S47" s="56"/>
      <c r="T47" s="56"/>
      <c r="U47" s="56"/>
      <c r="V47" s="74"/>
    </row>
    <row r="48" spans="1:22" ht="17.25" customHeight="1">
      <c r="A48" t="s">
        <v>33</v>
      </c>
      <c r="B48" s="66" t="str">
        <f>"2."&amp;+$C$4&amp;"  3."&amp;+$C$22</f>
        <v>2.Gruppe L  3.Gruppe M</v>
      </c>
      <c r="C48" s="104" t="str">
        <f>IF(M48="","",$AB$7&amp;" : "&amp;$AB$27)</f>
        <v>TSV Bayer Leverkusen : TSV Burgdorf</v>
      </c>
      <c r="D48" s="64"/>
      <c r="E48" s="65"/>
      <c r="F48" s="64"/>
      <c r="G48" s="64"/>
      <c r="H48" s="64"/>
      <c r="I48" s="69"/>
      <c r="J48" s="80">
        <f>IF(Sonntag!Q22="","",Sonntag!Q22)</f>
        <v>46</v>
      </c>
      <c r="K48" s="67" t="s">
        <v>27</v>
      </c>
      <c r="L48" s="78">
        <f>IF(Sonntag!S22="","",Sonntag!S22)</f>
        <v>25</v>
      </c>
      <c r="M48" s="83" t="s">
        <v>29</v>
      </c>
      <c r="O48" s="84">
        <v>3</v>
      </c>
      <c r="P48" s="86" t="str">
        <f>" "&amp;IF(J58="","",IF(Sonntag!Q52&gt;Sonntag!S52,Sonntag!H52,Sonntag!L52))</f>
        <v> TV Bremen 1875</v>
      </c>
      <c r="Q48" s="56"/>
      <c r="R48" s="56"/>
      <c r="S48" s="56"/>
      <c r="T48" s="56"/>
      <c r="U48" s="56"/>
      <c r="V48" s="74"/>
    </row>
    <row r="49" spans="2:22" ht="4.5" customHeight="1">
      <c r="B49" s="44"/>
      <c r="C49" s="136"/>
      <c r="D49" s="44"/>
      <c r="E49" s="44"/>
      <c r="F49" s="44"/>
      <c r="G49" s="44"/>
      <c r="H49" s="44"/>
      <c r="I49" s="44"/>
      <c r="J49" s="81"/>
      <c r="L49" s="79"/>
      <c r="M49" s="83"/>
      <c r="O49" s="84"/>
      <c r="P49" s="56"/>
      <c r="Q49" s="56"/>
      <c r="R49" s="56"/>
      <c r="S49" s="56"/>
      <c r="T49" s="56"/>
      <c r="U49" s="56"/>
      <c r="V49" s="74"/>
    </row>
    <row r="50" spans="1:22" ht="17.25" customHeight="1">
      <c r="A50" t="s">
        <v>34</v>
      </c>
      <c r="B50" s="66" t="str">
        <f>"2."&amp;+$C$22&amp;"  3."&amp;+$C$4</f>
        <v>2.Gruppe M  3.Gruppe L</v>
      </c>
      <c r="C50" s="104" t="str">
        <f>IF(M50="","",$AB$25&amp;" : "&amp;$AB$9)</f>
        <v>TV Cramberg : TV Bremen 1875</v>
      </c>
      <c r="D50" s="64"/>
      <c r="E50" s="64"/>
      <c r="F50" s="64"/>
      <c r="G50" s="64"/>
      <c r="H50" s="65"/>
      <c r="I50" s="69"/>
      <c r="J50" s="80">
        <f>IF(Sonntag!Q23="","",Sonntag!Q23)</f>
        <v>34</v>
      </c>
      <c r="K50" s="67" t="s">
        <v>27</v>
      </c>
      <c r="L50" s="78">
        <f>IF(Sonntag!S23="","",Sonntag!S23)</f>
        <v>37</v>
      </c>
      <c r="M50" s="83" t="s">
        <v>29</v>
      </c>
      <c r="O50" s="84">
        <v>4</v>
      </c>
      <c r="P50" s="86" t="str">
        <f>" "&amp;IF(J58="","",IF(Sonntag!Q52&lt;Sonntag!S52,Sonntag!H52,Sonntag!L52))</f>
        <v> SV Werder Bremen</v>
      </c>
      <c r="Q50" s="56"/>
      <c r="R50" s="56"/>
      <c r="S50" s="56"/>
      <c r="T50" s="56"/>
      <c r="U50" s="56"/>
      <c r="V50" s="74"/>
    </row>
    <row r="51" spans="2:22" ht="18" customHeight="1">
      <c r="B51" s="59" t="s">
        <v>35</v>
      </c>
      <c r="C51" s="136"/>
      <c r="D51" s="44"/>
      <c r="E51" s="44"/>
      <c r="F51" s="44"/>
      <c r="G51" s="44"/>
      <c r="H51" s="44"/>
      <c r="I51" s="44"/>
      <c r="J51" s="81"/>
      <c r="L51" s="79"/>
      <c r="M51" s="83"/>
      <c r="O51" s="84">
        <v>5</v>
      </c>
      <c r="P51" s="86" t="str">
        <f>" "&amp;IF(J56="","",IF(Sonntag!Q46&gt;Sonntag!S46,Sonntag!H46,Sonntag!L46))</f>
        <v> TV Cramberg</v>
      </c>
      <c r="Q51" s="56"/>
      <c r="R51" s="56"/>
      <c r="S51" s="56"/>
      <c r="T51" s="56"/>
      <c r="U51" s="56"/>
      <c r="V51" s="74"/>
    </row>
    <row r="52" spans="1:22" ht="17.25" customHeight="1">
      <c r="A52" t="s">
        <v>36</v>
      </c>
      <c r="B52" s="66" t="str">
        <f>"1."&amp;+$C$4&amp;"  Sieger "&amp;+$A$50</f>
        <v>1.Gruppe L  Sieger d</v>
      </c>
      <c r="C52" s="137" t="str">
        <f>IF(M52="","",$AB$5&amp;" : "&amp;Sonntag!L34)</f>
        <v>Eiserfelder TV : TV Bremen 1875</v>
      </c>
      <c r="D52" s="64"/>
      <c r="E52" s="64"/>
      <c r="F52" s="64"/>
      <c r="G52" s="64"/>
      <c r="H52" s="65"/>
      <c r="I52" s="69"/>
      <c r="J52" s="80">
        <f>IF(Sonntag!Q34="","",Sonntag!Q34)</f>
        <v>39</v>
      </c>
      <c r="K52" s="67" t="s">
        <v>27</v>
      </c>
      <c r="L52" s="78">
        <f>IF(Sonntag!S34="","",Sonntag!S34)</f>
        <v>30</v>
      </c>
      <c r="M52" s="83" t="s">
        <v>29</v>
      </c>
      <c r="O52" s="84">
        <v>6</v>
      </c>
      <c r="P52" s="86" t="str">
        <f>" "&amp;IF(J56="","",IF(Sonntag!Q46&lt;Sonntag!S46,Sonntag!H46,Sonntag!L46))</f>
        <v> TSV Burgdorf</v>
      </c>
      <c r="Q52" s="56"/>
      <c r="R52" s="56"/>
      <c r="S52" s="56"/>
      <c r="T52" s="56"/>
      <c r="U52" s="56"/>
      <c r="V52" s="74"/>
    </row>
    <row r="53" spans="2:22" ht="4.5" customHeight="1">
      <c r="B53" s="45"/>
      <c r="C53" s="136"/>
      <c r="D53" s="44"/>
      <c r="E53" s="45"/>
      <c r="F53" s="44"/>
      <c r="G53" s="44"/>
      <c r="H53" s="44"/>
      <c r="I53" s="44"/>
      <c r="J53" s="81"/>
      <c r="L53" s="79"/>
      <c r="M53" s="83"/>
      <c r="O53" s="84"/>
      <c r="P53" s="56"/>
      <c r="Q53" s="56"/>
      <c r="R53" s="56"/>
      <c r="S53" s="56"/>
      <c r="T53" s="56"/>
      <c r="U53" s="56"/>
      <c r="V53" s="74"/>
    </row>
    <row r="54" spans="1:22" ht="17.25" customHeight="1">
      <c r="A54" t="s">
        <v>37</v>
      </c>
      <c r="B54" s="66" t="str">
        <f>"1."&amp;+$C$22&amp;"  Sieger "&amp;+$A$48</f>
        <v>1.Gruppe M  Sieger c</v>
      </c>
      <c r="C54" s="137" t="str">
        <f>IF(M54="","",$AB$23&amp;" : "&amp;Sonntag!L35)</f>
        <v>SV Werder Bremen : TSV Bayer Leverkusen</v>
      </c>
      <c r="D54" s="64"/>
      <c r="E54" s="64"/>
      <c r="F54" s="64"/>
      <c r="G54" s="64"/>
      <c r="H54" s="64"/>
      <c r="I54" s="69"/>
      <c r="J54" s="80">
        <f>IF(Sonntag!Q35="","",Sonntag!Q35)</f>
        <v>34</v>
      </c>
      <c r="K54" s="67" t="s">
        <v>27</v>
      </c>
      <c r="L54" s="78">
        <f>IF(Sonntag!S35="","",Sonntag!S35)</f>
        <v>35</v>
      </c>
      <c r="M54" s="83" t="s">
        <v>29</v>
      </c>
      <c r="O54" s="84">
        <v>7</v>
      </c>
      <c r="P54" s="86" t="str">
        <f>" "&amp;IF(J46="","",IF('Samstag Neben'!Q67&gt;'Samstag Neben'!S67,'Samstag Neben'!H67,'Samstag Neben'!L67))</f>
        <v> TSG Eisenberg</v>
      </c>
      <c r="Q54" s="56"/>
      <c r="R54" s="56"/>
      <c r="S54" s="56"/>
      <c r="T54" s="56"/>
      <c r="U54" s="56"/>
      <c r="V54" s="74"/>
    </row>
    <row r="55" spans="2:22" ht="18" customHeight="1">
      <c r="B55" s="60" t="s">
        <v>38</v>
      </c>
      <c r="C55" s="136"/>
      <c r="D55" s="44"/>
      <c r="E55" s="45"/>
      <c r="F55" s="44"/>
      <c r="G55" s="44"/>
      <c r="H55" s="44"/>
      <c r="I55" s="44"/>
      <c r="J55" s="81"/>
      <c r="L55" s="79"/>
      <c r="M55" s="83"/>
      <c r="O55" s="84">
        <v>8</v>
      </c>
      <c r="P55" s="86" t="str">
        <f>" "&amp;IF(J46="","",IF('Samstag Neben'!Q67&lt;'Samstag Neben'!S67,'Samstag Neben'!H67,'Samstag Neben'!L67))</f>
        <v> VfL Oldenburg</v>
      </c>
      <c r="Q55" s="56"/>
      <c r="R55" s="56"/>
      <c r="S55" s="56"/>
      <c r="T55" s="56"/>
      <c r="U55" s="56"/>
      <c r="V55" s="74"/>
    </row>
    <row r="56" spans="2:22" ht="17.25" customHeight="1">
      <c r="B56" s="73" t="str">
        <f>"V."&amp;A48&amp;"/"&amp;A50&amp;"         5./6. Pl."</f>
        <v>V.c/d         5./6. Pl.</v>
      </c>
      <c r="C56" s="137" t="str">
        <f>IF(M56="","",IF(J48="","",Sonntag!H46)&amp;" : "&amp;IF(J50="","",Sonntag!L46))</f>
        <v>TSV Burgdorf : TV Cramberg</v>
      </c>
      <c r="D56" s="64"/>
      <c r="E56" s="64"/>
      <c r="F56" s="64"/>
      <c r="G56" s="64"/>
      <c r="H56" s="64"/>
      <c r="I56" s="69"/>
      <c r="J56" s="80">
        <f>IF(Sonntag!Q46="","",Sonntag!Q46)</f>
        <v>33</v>
      </c>
      <c r="K56" s="67" t="s">
        <v>27</v>
      </c>
      <c r="L56" s="78">
        <f>IF(Sonntag!S46="","",Sonntag!S46)</f>
        <v>36</v>
      </c>
      <c r="M56" s="83" t="s">
        <v>29</v>
      </c>
      <c r="O56" s="84">
        <v>9</v>
      </c>
      <c r="P56" s="86" t="str">
        <f>" "&amp;IF(J44="","",IF('Samstag Neben'!Q66&gt;'Samstag Neben'!S66,'Samstag Neben'!H66,'Samstag Neben'!L66))</f>
        <v> TV Höheischweiler</v>
      </c>
      <c r="Q56" s="56"/>
      <c r="R56" s="56"/>
      <c r="S56" s="56"/>
      <c r="T56" s="56"/>
      <c r="U56" s="56"/>
      <c r="V56" s="74"/>
    </row>
    <row r="57" spans="2:22" ht="4.5" customHeight="1">
      <c r="B57" s="44"/>
      <c r="C57" s="136"/>
      <c r="D57" s="44"/>
      <c r="E57" s="44"/>
      <c r="F57" s="44"/>
      <c r="G57" s="44"/>
      <c r="H57" s="45"/>
      <c r="I57" s="44"/>
      <c r="J57" s="81"/>
      <c r="L57" s="79"/>
      <c r="M57" s="83"/>
      <c r="O57" s="84"/>
      <c r="P57" s="86"/>
      <c r="Q57" s="56"/>
      <c r="R57" s="56"/>
      <c r="S57" s="56"/>
      <c r="T57" s="56"/>
      <c r="U57" s="56"/>
      <c r="V57" s="74"/>
    </row>
    <row r="58" spans="1:22" ht="17.25" customHeight="1">
      <c r="A58" s="86"/>
      <c r="B58" s="73" t="str">
        <f>"V."&amp;A52&amp;"/"&amp;A54&amp;"         3./4. Pl."</f>
        <v>V.e/f         3./4. Pl.</v>
      </c>
      <c r="C58" s="137" t="str">
        <f>IF(M58="","",IF(J52="","",Sonntag!H52)&amp;" : "&amp;IF(J54="","",Sonntag!L52))</f>
        <v>TV Bremen 1875 : SV Werder Bremen</v>
      </c>
      <c r="D58" s="64"/>
      <c r="E58" s="65"/>
      <c r="F58" s="64"/>
      <c r="G58" s="64"/>
      <c r="H58" s="64"/>
      <c r="I58" s="69"/>
      <c r="J58" s="80">
        <f>IF(Sonntag!Q52="","",Sonntag!Q52)</f>
        <v>39</v>
      </c>
      <c r="K58" s="67" t="s">
        <v>27</v>
      </c>
      <c r="L58" s="78">
        <f>IF(Sonntag!S52="","",Sonntag!S52)</f>
        <v>36</v>
      </c>
      <c r="M58" s="83" t="s">
        <v>29</v>
      </c>
      <c r="O58" s="85">
        <v>10</v>
      </c>
      <c r="P58" s="205" t="str">
        <f>" "&amp;IF(J44="","",IF('Samstag Neben'!Q66&lt;'Samstag Neben'!S66,'Samstag Neben'!H66,'Samstag Neben'!L66))</f>
        <v> TV Niederschelden</v>
      </c>
      <c r="Q58" s="75"/>
      <c r="R58" s="75"/>
      <c r="S58" s="75"/>
      <c r="T58" s="75"/>
      <c r="U58" s="75"/>
      <c r="V58" s="76"/>
    </row>
    <row r="59" spans="2:13" ht="18" customHeight="1">
      <c r="B59" s="70" t="s">
        <v>39</v>
      </c>
      <c r="C59" s="135"/>
      <c r="D59" s="44"/>
      <c r="E59" s="44"/>
      <c r="F59" s="44"/>
      <c r="G59" s="25"/>
      <c r="H59" s="71"/>
      <c r="I59" s="25"/>
      <c r="J59" s="81"/>
      <c r="L59" s="79"/>
      <c r="M59" s="83"/>
    </row>
    <row r="60" spans="2:13" ht="17.25" customHeight="1">
      <c r="B60" s="73" t="str">
        <f>"S."&amp;A52&amp;"/"&amp;A54&amp;"         1./2. Pl."</f>
        <v>S.e/f         1./2. Pl.</v>
      </c>
      <c r="C60" s="137" t="str">
        <f>IF(M60="","",IF(J52="","",Sonntag!H59)&amp;" : "&amp;IF(J54="","",Sonntag!L59))</f>
        <v>Eiserfelder TV : TSV Bayer Leverkusen</v>
      </c>
      <c r="D60" s="63"/>
      <c r="E60" s="77"/>
      <c r="F60" s="63"/>
      <c r="G60" s="64"/>
      <c r="H60" s="64"/>
      <c r="I60" s="69"/>
      <c r="J60" s="80">
        <f>IF(Sonntag!Q59="","",Sonntag!Q59)</f>
        <v>37</v>
      </c>
      <c r="K60" s="67" t="s">
        <v>27</v>
      </c>
      <c r="L60" s="78">
        <f>IF(Sonntag!S59="","",Sonntag!S59)</f>
        <v>35</v>
      </c>
      <c r="M60" s="83" t="s">
        <v>29</v>
      </c>
    </row>
  </sheetData>
  <printOptions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&amp;R&amp;6&amp;D; &amp;F;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07"/>
  <sheetViews>
    <sheetView workbookViewId="0" topLeftCell="B1">
      <selection activeCell="B3" sqref="B3:X3"/>
    </sheetView>
  </sheetViews>
  <sheetFormatPr defaultColWidth="11.421875" defaultRowHeight="12.75" outlineLevelRow="1" outlineLevelCol="1"/>
  <cols>
    <col min="1" max="1" width="3.00390625" style="144" hidden="1" customWidth="1" outlineLevel="1"/>
    <col min="2" max="2" width="3.7109375" style="144" customWidth="1" collapsed="1"/>
    <col min="3" max="3" width="4.8515625" style="144" customWidth="1"/>
    <col min="4" max="4" width="3.28125" style="144" customWidth="1"/>
    <col min="5" max="5" width="4.140625" style="144" customWidth="1"/>
    <col min="6" max="6" width="3.140625" style="144" customWidth="1"/>
    <col min="7" max="7" width="2.7109375" style="144" hidden="1" customWidth="1" outlineLevel="1"/>
    <col min="8" max="8" width="17.7109375" style="144" customWidth="1" collapsed="1"/>
    <col min="9" max="9" width="1.421875" style="144" customWidth="1"/>
    <col min="10" max="10" width="3.140625" style="144" customWidth="1"/>
    <col min="11" max="11" width="2.7109375" style="144" hidden="1" customWidth="1" outlineLevel="1"/>
    <col min="12" max="12" width="17.7109375" style="144" customWidth="1" collapsed="1"/>
    <col min="13" max="13" width="3.140625" style="144" customWidth="1"/>
    <col min="14" max="14" width="2.7109375" style="144" hidden="1" customWidth="1" outlineLevel="1"/>
    <col min="15" max="15" width="17.7109375" style="144" customWidth="1" collapsed="1"/>
    <col min="16" max="16" width="4.8515625" style="146" customWidth="1" outlineLevel="1"/>
    <col min="17" max="17" width="2.7109375" style="144" customWidth="1" outlineLevel="1"/>
    <col min="18" max="18" width="1.421875" style="144" customWidth="1" outlineLevel="1"/>
    <col min="19" max="20" width="2.7109375" style="144" customWidth="1" outlineLevel="1"/>
    <col min="21" max="21" width="1.421875" style="144" customWidth="1" outlineLevel="1"/>
    <col min="22" max="22" width="2.7109375" style="144" customWidth="1" outlineLevel="1"/>
    <col min="23" max="23" width="0.71875" style="144" customWidth="1"/>
    <col min="24" max="25" width="8.28125" style="144" customWidth="1" outlineLevel="1"/>
    <col min="26" max="26" width="4.00390625" style="145" customWidth="1"/>
    <col min="27" max="27" width="6.7109375" style="145" bestFit="1" customWidth="1"/>
    <col min="28" max="28" width="1.8515625" style="145" customWidth="1"/>
    <col min="29" max="29" width="7.421875" style="144" bestFit="1" customWidth="1"/>
    <col min="30" max="16384" width="11.421875" style="144" customWidth="1"/>
  </cols>
  <sheetData>
    <row r="1" spans="2:28" s="190" customFormat="1" ht="18.75" customHeight="1">
      <c r="B1" s="178" t="str">
        <f>Daten!A1&amp;" "&amp;Daten!B1&amp;" "&amp;Daten!L1</f>
        <v>43. Deutsche Prellball Meisterschaften der Seniorinnen und Senioren 2006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  <c r="Q1" s="191"/>
      <c r="R1" s="191"/>
      <c r="S1" s="191"/>
      <c r="T1" s="191"/>
      <c r="U1" s="191"/>
      <c r="V1" s="191"/>
      <c r="W1" s="191"/>
      <c r="X1" s="191"/>
      <c r="Y1" s="191"/>
      <c r="Z1" s="181"/>
      <c r="AA1" s="181"/>
      <c r="AB1" s="181"/>
    </row>
    <row r="2" spans="2:28" s="177" customFormat="1" ht="19.5" customHeight="1">
      <c r="B2" s="177" t="s">
        <v>29</v>
      </c>
      <c r="C2" s="189" t="s">
        <v>76</v>
      </c>
      <c r="H2" s="189" t="str">
        <f>+Daten!A33</f>
        <v>30.04.2006</v>
      </c>
      <c r="L2" s="201" t="str">
        <f>+Daten!O34</f>
        <v>Schulzentrum, Berliner Ring 27</v>
      </c>
      <c r="P2" s="188"/>
      <c r="X2" s="177" t="s">
        <v>29</v>
      </c>
      <c r="Z2" s="181"/>
      <c r="AA2" s="181"/>
      <c r="AB2" s="181"/>
    </row>
    <row r="3" spans="1:25" ht="12.75" hidden="1" outlineLevel="1">
      <c r="A3" s="145"/>
      <c r="B3" s="145" t="s">
        <v>23</v>
      </c>
      <c r="C3" s="145"/>
      <c r="D3" s="145"/>
      <c r="E3" s="145"/>
      <c r="F3" s="145"/>
      <c r="G3" s="145"/>
      <c r="H3" s="145" t="s">
        <v>19</v>
      </c>
      <c r="I3" s="145"/>
      <c r="J3" s="145"/>
      <c r="K3" s="145"/>
      <c r="L3" s="145" t="s">
        <v>22</v>
      </c>
      <c r="M3" s="145"/>
      <c r="N3" s="145"/>
      <c r="O3" s="145" t="s">
        <v>20</v>
      </c>
      <c r="P3" s="147" t="s">
        <v>69</v>
      </c>
      <c r="Q3" s="145"/>
      <c r="R3" s="145"/>
      <c r="S3" s="145"/>
      <c r="T3" s="145"/>
      <c r="U3" s="145"/>
      <c r="V3" s="145"/>
      <c r="W3" s="145"/>
      <c r="X3" s="145" t="s">
        <v>21</v>
      </c>
      <c r="Y3" s="145"/>
    </row>
    <row r="4" spans="1:25" ht="12.75" hidden="1" outlineLevel="1">
      <c r="A4" s="145">
        <v>1</v>
      </c>
      <c r="B4" s="182" t="str">
        <f>+'Männer 50'!AB5</f>
        <v>TV Viersen</v>
      </c>
      <c r="C4" s="145"/>
      <c r="D4" s="145"/>
      <c r="E4" s="145"/>
      <c r="F4" s="145"/>
      <c r="G4" s="145"/>
      <c r="H4" s="182" t="str">
        <f>+'Männer 30'!AB5</f>
        <v>TSV Krumbach</v>
      </c>
      <c r="I4" s="145"/>
      <c r="J4" s="145"/>
      <c r="K4" s="145"/>
      <c r="L4" s="182" t="str">
        <f>+'Frauen 40'!AB5</f>
        <v>Barmer TG</v>
      </c>
      <c r="M4" s="145"/>
      <c r="N4" s="145"/>
      <c r="O4" s="182" t="str">
        <f>+'Frauen 30'!AB5</f>
        <v>TSV Radevormwald</v>
      </c>
      <c r="P4" s="147" t="str">
        <f>+'Männer 60'!AB5</f>
        <v>Eiserfelder TV</v>
      </c>
      <c r="Q4" s="145"/>
      <c r="R4" s="145"/>
      <c r="S4" s="145"/>
      <c r="T4" s="145"/>
      <c r="U4" s="145"/>
      <c r="V4" s="145"/>
      <c r="W4" s="145"/>
      <c r="X4" s="182" t="str">
        <f>+'Männer 40'!AB5</f>
        <v>TV Berkenbaum</v>
      </c>
      <c r="Y4" s="145"/>
    </row>
    <row r="5" spans="1:25" ht="12.75" hidden="1" outlineLevel="1">
      <c r="A5" s="145">
        <v>2</v>
      </c>
      <c r="B5" s="182" t="str">
        <f>+'Männer 50'!AB7</f>
        <v>SF Ricklingen</v>
      </c>
      <c r="C5" s="145"/>
      <c r="D5" s="145"/>
      <c r="E5" s="145"/>
      <c r="F5" s="145"/>
      <c r="G5" s="145"/>
      <c r="H5" s="182" t="str">
        <f>+'Männer 30'!AB7</f>
        <v>TV Kleefeld</v>
      </c>
      <c r="I5" s="145"/>
      <c r="J5" s="145"/>
      <c r="K5" s="145"/>
      <c r="L5" s="182" t="str">
        <f>+'Frauen 40'!AB7</f>
        <v>TSV Ludwigshafen</v>
      </c>
      <c r="M5" s="145"/>
      <c r="N5" s="145"/>
      <c r="O5" s="182" t="str">
        <f>+'Frauen 30'!AB7</f>
        <v>MTV Eiche Schönebeck</v>
      </c>
      <c r="P5" s="147" t="str">
        <f>+'Männer 60'!AB7</f>
        <v>TSV Bayer Leverkusen</v>
      </c>
      <c r="Q5" s="145"/>
      <c r="R5" s="145"/>
      <c r="S5" s="145"/>
      <c r="T5" s="145"/>
      <c r="U5" s="145"/>
      <c r="V5" s="145"/>
      <c r="W5" s="145"/>
      <c r="X5" s="182" t="str">
        <f>+'Männer 40'!AB7</f>
        <v>TV Wertheim</v>
      </c>
      <c r="Y5" s="145"/>
    </row>
    <row r="6" spans="1:25" ht="12.75" hidden="1" outlineLevel="1">
      <c r="A6" s="145">
        <v>3</v>
      </c>
      <c r="B6" s="182" t="str">
        <f>+'Männer 50'!AB9</f>
        <v>TSV Krumbach</v>
      </c>
      <c r="C6" s="145"/>
      <c r="D6" s="145"/>
      <c r="E6" s="145"/>
      <c r="F6" s="145"/>
      <c r="G6" s="145"/>
      <c r="H6" s="182" t="str">
        <f>+'Männer 30'!AB9</f>
        <v>TV Kierdorf</v>
      </c>
      <c r="I6" s="145"/>
      <c r="J6" s="145"/>
      <c r="K6" s="145"/>
      <c r="L6" s="182" t="str">
        <f>+'Frauen 40'!AB9</f>
        <v>MTV Itzehoe</v>
      </c>
      <c r="M6" s="145"/>
      <c r="N6" s="145"/>
      <c r="O6" s="182" t="str">
        <f>+'Frauen 30'!AB9</f>
        <v>TV Edingen</v>
      </c>
      <c r="P6" s="147" t="str">
        <f>+'Männer 60'!AB9</f>
        <v>TV Bremen 1875</v>
      </c>
      <c r="Q6" s="145"/>
      <c r="R6" s="145"/>
      <c r="S6" s="145"/>
      <c r="T6" s="145"/>
      <c r="U6" s="145"/>
      <c r="V6" s="145"/>
      <c r="W6" s="145"/>
      <c r="X6" s="182" t="str">
        <f>+'Männer 40'!AB9</f>
        <v>TSV Burgdorf</v>
      </c>
      <c r="Y6" s="145"/>
    </row>
    <row r="7" spans="1:25" ht="12.75" hidden="1" outlineLevel="1">
      <c r="A7" s="145">
        <v>4</v>
      </c>
      <c r="B7" s="182" t="str">
        <f>+'Männer 50'!AB11</f>
        <v>Haaner TB</v>
      </c>
      <c r="C7" s="145"/>
      <c r="D7" s="145"/>
      <c r="E7" s="145"/>
      <c r="F7" s="145"/>
      <c r="G7" s="145"/>
      <c r="H7" s="182" t="str">
        <f>+'Männer 30'!AB11</f>
        <v>SV Werder Bremen</v>
      </c>
      <c r="I7" s="145"/>
      <c r="J7" s="145"/>
      <c r="K7" s="145"/>
      <c r="L7" s="182" t="str">
        <f>+'Frauen 40'!AB11</f>
        <v>TV Berkenbaum</v>
      </c>
      <c r="M7" s="145"/>
      <c r="N7" s="145"/>
      <c r="O7" s="182" t="str">
        <f>+'Frauen 30'!AB11</f>
        <v>VfK 1901 Berlin</v>
      </c>
      <c r="P7" s="147" t="str">
        <f>+'Männer 60'!AB11</f>
        <v>TSG Eisenberg</v>
      </c>
      <c r="Q7" s="145"/>
      <c r="R7" s="145"/>
      <c r="S7" s="145"/>
      <c r="T7" s="145"/>
      <c r="U7" s="145"/>
      <c r="V7" s="145"/>
      <c r="W7" s="145"/>
      <c r="X7" s="182" t="str">
        <f>+'Männer 40'!AB11</f>
        <v>TSV Kirchdorf</v>
      </c>
      <c r="Y7" s="145"/>
    </row>
    <row r="8" spans="1:25" ht="12.75" hidden="1" outlineLevel="1">
      <c r="A8" s="145">
        <v>5</v>
      </c>
      <c r="B8" s="182" t="str">
        <f>+'Männer 50'!AB13</f>
        <v>SC Wentorf</v>
      </c>
      <c r="C8" s="145"/>
      <c r="D8" s="145"/>
      <c r="E8" s="145"/>
      <c r="F8" s="145"/>
      <c r="G8" s="145"/>
      <c r="H8" s="182" t="str">
        <f>+'Männer 30'!AB13</f>
        <v>TB Hückeswagen</v>
      </c>
      <c r="I8" s="145"/>
      <c r="J8" s="145"/>
      <c r="K8" s="145"/>
      <c r="L8" s="182" t="str">
        <f>+'Frauen 40'!AB13</f>
        <v>VfL Oldenburg</v>
      </c>
      <c r="M8" s="145"/>
      <c r="N8" s="145"/>
      <c r="O8" s="182">
        <f>+'Frauen 30'!AB13</f>
        <v>0</v>
      </c>
      <c r="P8" s="147" t="str">
        <f>+'Männer 60'!AB13</f>
        <v>VfL Oldenburg</v>
      </c>
      <c r="Q8" s="145"/>
      <c r="R8" s="145"/>
      <c r="S8" s="145"/>
      <c r="T8" s="145"/>
      <c r="U8" s="145"/>
      <c r="V8" s="145"/>
      <c r="W8" s="145"/>
      <c r="X8" s="182" t="str">
        <f>+'Männer 40'!AB13</f>
        <v>PV Gundernhausen</v>
      </c>
      <c r="Y8" s="145"/>
    </row>
    <row r="9" spans="1:25" ht="12.75" hidden="1" outlineLevel="1">
      <c r="A9" s="145">
        <v>6</v>
      </c>
      <c r="B9" s="182"/>
      <c r="C9" s="145"/>
      <c r="D9" s="145"/>
      <c r="E9" s="145"/>
      <c r="F9" s="145"/>
      <c r="G9" s="145"/>
      <c r="H9" s="182"/>
      <c r="I9" s="145"/>
      <c r="J9" s="145"/>
      <c r="K9" s="145"/>
      <c r="L9" s="145"/>
      <c r="M9" s="145"/>
      <c r="N9" s="145"/>
      <c r="O9" s="182"/>
      <c r="P9" s="147"/>
      <c r="Q9" s="145"/>
      <c r="R9" s="145"/>
      <c r="S9" s="145"/>
      <c r="T9" s="145"/>
      <c r="U9" s="145"/>
      <c r="V9" s="145"/>
      <c r="W9" s="145"/>
      <c r="X9" s="182"/>
      <c r="Y9" s="145"/>
    </row>
    <row r="10" spans="1:25" ht="12.75" hidden="1" outlineLevel="1">
      <c r="A10" s="145">
        <v>7</v>
      </c>
      <c r="B10" s="182"/>
      <c r="C10" s="145"/>
      <c r="D10" s="145"/>
      <c r="E10" s="145"/>
      <c r="F10" s="145"/>
      <c r="G10" s="145"/>
      <c r="H10" s="182"/>
      <c r="I10" s="145"/>
      <c r="J10" s="145"/>
      <c r="K10" s="145"/>
      <c r="L10" s="145"/>
      <c r="M10" s="145"/>
      <c r="N10" s="145"/>
      <c r="O10" s="182"/>
      <c r="P10" s="147"/>
      <c r="Q10" s="145"/>
      <c r="R10" s="145"/>
      <c r="S10" s="145"/>
      <c r="T10" s="145"/>
      <c r="U10" s="145"/>
      <c r="V10" s="145"/>
      <c r="W10" s="145"/>
      <c r="X10" s="182"/>
      <c r="Y10" s="145"/>
    </row>
    <row r="11" spans="1:25" ht="12.75" hidden="1" outlineLevel="1">
      <c r="A11" s="145">
        <v>11</v>
      </c>
      <c r="B11" s="182" t="str">
        <f>+'Männer 50'!AB23</f>
        <v>SV Werder Bremen</v>
      </c>
      <c r="C11" s="145"/>
      <c r="D11" s="145"/>
      <c r="E11" s="145"/>
      <c r="F11" s="145"/>
      <c r="G11" s="145"/>
      <c r="H11" s="182" t="str">
        <f>+'Männer 30'!AB23</f>
        <v>SV Weiler</v>
      </c>
      <c r="I11" s="145"/>
      <c r="J11" s="145"/>
      <c r="K11" s="145"/>
      <c r="L11" s="182" t="str">
        <f>+'Frauen 40'!AB23</f>
        <v>TG Giengen</v>
      </c>
      <c r="M11" s="145"/>
      <c r="N11" s="145"/>
      <c r="O11" s="182" t="str">
        <f>+'Frauen 30'!AB23</f>
        <v>VfL Hannover</v>
      </c>
      <c r="P11" s="147" t="str">
        <f>+'Männer 60'!AB23</f>
        <v>SV Werder Bremen</v>
      </c>
      <c r="Q11" s="145"/>
      <c r="R11" s="145"/>
      <c r="S11" s="145"/>
      <c r="T11" s="145"/>
      <c r="U11" s="145"/>
      <c r="V11" s="145"/>
      <c r="W11" s="145"/>
      <c r="X11" s="182" t="str">
        <f>+'Männer 40'!AB23</f>
        <v>SF Ricklingen</v>
      </c>
      <c r="Y11" s="145"/>
    </row>
    <row r="12" spans="1:25" ht="12.75" hidden="1" outlineLevel="1">
      <c r="A12" s="145">
        <v>12</v>
      </c>
      <c r="B12" s="182" t="str">
        <f>+'Männer 50'!AB25</f>
        <v>TuS Ferndorf</v>
      </c>
      <c r="C12" s="145"/>
      <c r="D12" s="145"/>
      <c r="E12" s="145"/>
      <c r="F12" s="145"/>
      <c r="G12" s="145"/>
      <c r="H12" s="182" t="str">
        <f>+'Männer 30'!AB25</f>
        <v>SV Prag Stuttgart</v>
      </c>
      <c r="I12" s="145"/>
      <c r="J12" s="145"/>
      <c r="K12" s="145"/>
      <c r="L12" s="182" t="str">
        <f>+'Frauen 40'!AB25</f>
        <v>TV Wertheim</v>
      </c>
      <c r="M12" s="145"/>
      <c r="N12" s="145"/>
      <c r="O12" s="182" t="str">
        <f>+'Frauen 30'!AB25</f>
        <v>TV Baden</v>
      </c>
      <c r="P12" s="147" t="str">
        <f>+'Männer 60'!AB25</f>
        <v>TV Cramberg</v>
      </c>
      <c r="Q12" s="145"/>
      <c r="R12" s="145"/>
      <c r="S12" s="145"/>
      <c r="T12" s="145"/>
      <c r="U12" s="145"/>
      <c r="V12" s="145"/>
      <c r="W12" s="145"/>
      <c r="X12" s="182" t="str">
        <f>+'Männer 40'!AB25</f>
        <v>TV FA Altenbochum</v>
      </c>
      <c r="Y12" s="145"/>
    </row>
    <row r="13" spans="1:25" ht="12.75" hidden="1" outlineLevel="1">
      <c r="A13" s="145">
        <v>13</v>
      </c>
      <c r="B13" s="182" t="str">
        <f>+'Männer 50'!AB27</f>
        <v>VT Contwig</v>
      </c>
      <c r="C13" s="145"/>
      <c r="D13" s="145"/>
      <c r="E13" s="145"/>
      <c r="F13" s="145"/>
      <c r="G13" s="145"/>
      <c r="H13" s="182" t="str">
        <f>+'Männer 30'!AB27</f>
        <v>VfK 1901 Berlin</v>
      </c>
      <c r="I13" s="145"/>
      <c r="J13" s="145"/>
      <c r="K13" s="145"/>
      <c r="L13" s="182" t="str">
        <f>+'Frauen 40'!AB27</f>
        <v>VSK Osterholz Scharmbeck</v>
      </c>
      <c r="M13" s="145"/>
      <c r="N13" s="145"/>
      <c r="O13" s="182" t="str">
        <f>+'Frauen 30'!AB27</f>
        <v>SKG Ober Ramstadt</v>
      </c>
      <c r="P13" s="147" t="str">
        <f>+'Männer 60'!AB27</f>
        <v>TSV Burgdorf</v>
      </c>
      <c r="Q13" s="145"/>
      <c r="R13" s="145"/>
      <c r="S13" s="145"/>
      <c r="T13" s="145"/>
      <c r="U13" s="145"/>
      <c r="V13" s="145"/>
      <c r="W13" s="145"/>
      <c r="X13" s="182" t="str">
        <f>+'Männer 40'!AB27</f>
        <v>TV Grohn</v>
      </c>
      <c r="Y13" s="145"/>
    </row>
    <row r="14" spans="1:25" ht="12.75" hidden="1" outlineLevel="1">
      <c r="A14" s="145">
        <v>14</v>
      </c>
      <c r="B14" s="182" t="str">
        <f>+'Männer 50'!AB29</f>
        <v>TSV Kirchdorf</v>
      </c>
      <c r="C14" s="145"/>
      <c r="D14" s="145"/>
      <c r="E14" s="145"/>
      <c r="F14" s="145"/>
      <c r="G14" s="145"/>
      <c r="H14" s="182" t="str">
        <f>+'Männer 30'!AB29</f>
        <v>SSC Dodesheide</v>
      </c>
      <c r="I14" s="145"/>
      <c r="J14" s="145"/>
      <c r="K14" s="145"/>
      <c r="L14" s="182" t="str">
        <f>+'Frauen 40'!AB29</f>
        <v>MTV Wohnste</v>
      </c>
      <c r="M14" s="145"/>
      <c r="N14" s="145"/>
      <c r="O14" s="182" t="str">
        <f>+'Frauen 30'!AB29</f>
        <v>TV Oberschopfheim</v>
      </c>
      <c r="P14" s="147" t="str">
        <f>+'Männer 60'!AB29</f>
        <v>TV Höheischweiler</v>
      </c>
      <c r="Q14" s="145"/>
      <c r="R14" s="145"/>
      <c r="S14" s="145"/>
      <c r="T14" s="145"/>
      <c r="U14" s="145"/>
      <c r="V14" s="145"/>
      <c r="W14" s="145"/>
      <c r="X14" s="182" t="str">
        <f>+'Männer 40'!AB29</f>
        <v>VT Contwig</v>
      </c>
      <c r="Y14" s="145"/>
    </row>
    <row r="15" spans="1:25" ht="12.75" hidden="1" outlineLevel="1">
      <c r="A15" s="145">
        <v>15</v>
      </c>
      <c r="B15" s="182" t="str">
        <f>+'Männer 50'!AB31</f>
        <v>TV Edingen</v>
      </c>
      <c r="C15" s="145"/>
      <c r="D15" s="145"/>
      <c r="E15" s="145"/>
      <c r="F15" s="145"/>
      <c r="G15" s="145"/>
      <c r="H15" s="182" t="str">
        <f>+'Männer 30'!AB31</f>
        <v>SKG Ober Ramstadt</v>
      </c>
      <c r="I15" s="145"/>
      <c r="J15" s="145"/>
      <c r="K15" s="145"/>
      <c r="L15" s="145" t="str">
        <f>+'Frauen 40'!AB31</f>
        <v>Betzdorfer TV</v>
      </c>
      <c r="M15" s="145"/>
      <c r="N15" s="145"/>
      <c r="O15" s="145" t="str">
        <f>+'Frauen 30'!AB31</f>
        <v>TV Grohn</v>
      </c>
      <c r="P15" s="147" t="str">
        <f>+'Männer 60'!AB31</f>
        <v>TV Niederschelden</v>
      </c>
      <c r="Q15" s="145"/>
      <c r="R15" s="145"/>
      <c r="S15" s="145"/>
      <c r="T15" s="145"/>
      <c r="U15" s="145"/>
      <c r="V15" s="145"/>
      <c r="W15" s="145"/>
      <c r="X15" s="145" t="str">
        <f>+'Männer 40'!AB31</f>
        <v>TV Offenburg</v>
      </c>
      <c r="Y15" s="145"/>
    </row>
    <row r="16" spans="1:16" s="145" customFormat="1" ht="11.25" hidden="1" outlineLevel="1">
      <c r="A16" s="145">
        <v>16</v>
      </c>
      <c r="P16" s="147"/>
    </row>
    <row r="17" spans="1:16" s="145" customFormat="1" ht="11.25" hidden="1" outlineLevel="1">
      <c r="A17" s="145">
        <v>17</v>
      </c>
      <c r="P17" s="147"/>
    </row>
    <row r="18" s="145" customFormat="1" ht="11.25" hidden="1" outlineLevel="1">
      <c r="P18" s="147"/>
    </row>
    <row r="19" spans="1:15" ht="12.75" hidden="1" outlineLevel="1">
      <c r="A19" s="145"/>
      <c r="B19" s="145"/>
      <c r="H19" s="145"/>
      <c r="I19" s="145"/>
      <c r="J19" s="145"/>
      <c r="K19" s="145"/>
      <c r="L19" s="145"/>
      <c r="M19" s="145"/>
      <c r="N19" s="145"/>
      <c r="O19" s="145"/>
    </row>
    <row r="20" ht="4.5" customHeight="1" hidden="1" outlineLevel="1"/>
    <row r="21" spans="2:25" s="181" customFormat="1" ht="12.75" customHeight="1" collapsed="1" thickBot="1">
      <c r="B21" s="185" t="s">
        <v>46</v>
      </c>
      <c r="C21" s="185" t="s">
        <v>3</v>
      </c>
      <c r="D21" s="185" t="s">
        <v>47</v>
      </c>
      <c r="E21" s="185" t="s">
        <v>48</v>
      </c>
      <c r="F21" s="185"/>
      <c r="G21" s="185"/>
      <c r="H21" s="185" t="s">
        <v>49</v>
      </c>
      <c r="I21" s="185"/>
      <c r="J21" s="185"/>
      <c r="K21" s="185"/>
      <c r="L21" s="185" t="s">
        <v>49</v>
      </c>
      <c r="M21" s="185"/>
      <c r="N21" s="185"/>
      <c r="O21" s="185" t="s">
        <v>50</v>
      </c>
      <c r="P21" s="186" t="s">
        <v>51</v>
      </c>
      <c r="Q21" s="185"/>
      <c r="R21" s="185" t="s">
        <v>52</v>
      </c>
      <c r="S21" s="185"/>
      <c r="T21" s="185"/>
      <c r="U21" s="185" t="s">
        <v>26</v>
      </c>
      <c r="V21" s="185"/>
      <c r="X21" s="185" t="s">
        <v>52</v>
      </c>
      <c r="Y21" s="185" t="s">
        <v>26</v>
      </c>
    </row>
    <row r="22" spans="2:29" s="145" customFormat="1" ht="12.75" customHeight="1" thickTop="1">
      <c r="B22" s="145">
        <v>1</v>
      </c>
      <c r="C22" s="150">
        <f>+Daten!P4</f>
        <v>0.375</v>
      </c>
      <c r="D22" s="145">
        <v>145</v>
      </c>
      <c r="E22" s="145">
        <v>1</v>
      </c>
      <c r="F22" s="158" t="s">
        <v>69</v>
      </c>
      <c r="G22" s="145">
        <v>2</v>
      </c>
      <c r="H22" s="153" t="str">
        <f ca="1">IF($B$2="","2. Gruppe L",INDIRECT(ADDRESS(MATCH(G22,$A$1:$A$19,0),MATCH(F22,$A$3:$AE$3,0))))</f>
        <v>TSV Bayer Leverkusen</v>
      </c>
      <c r="I22" s="154" t="s">
        <v>28</v>
      </c>
      <c r="J22" s="158" t="s">
        <v>69</v>
      </c>
      <c r="K22" s="145">
        <v>13</v>
      </c>
      <c r="L22" s="153" t="str">
        <f ca="1">IF($B$2="","3. Gruppe M",INDIRECT(ADDRESS(MATCH(K22,$A$1:$A$19,0),MATCH(J22,$A$3:$AE$3,0))))</f>
        <v>TSV Burgdorf</v>
      </c>
      <c r="M22" s="158" t="s">
        <v>69</v>
      </c>
      <c r="N22" s="145">
        <v>1</v>
      </c>
      <c r="O22" s="153" t="str">
        <f ca="1">IF($B$2="","1. Gruppe L",INDIRECT(ADDRESS(MATCH(N22,$A$1:$A$19,0),MATCH(M22,$A$3:$AE$3,0))))</f>
        <v>Eiserfelder TV</v>
      </c>
      <c r="P22" s="147"/>
      <c r="Q22" s="145">
        <v>46</v>
      </c>
      <c r="R22" s="154" t="s">
        <v>27</v>
      </c>
      <c r="S22" s="156">
        <v>25</v>
      </c>
      <c r="T22" s="155">
        <f aca="true" t="shared" si="0" ref="T22:T46">IF(Q22="","",IF(Q22&gt;S22,2,IF(Q22&lt;S22,0,1)))</f>
        <v>2</v>
      </c>
      <c r="U22" s="154" t="s">
        <v>27</v>
      </c>
      <c r="V22" s="156">
        <f aca="true" t="shared" si="1" ref="V22:V46">IF(S22="","",IF(S22&gt;Q22,2,IF(S22&lt;Q22,0,1)))</f>
        <v>0</v>
      </c>
      <c r="X22" s="154" t="s">
        <v>53</v>
      </c>
      <c r="Y22" s="154" t="s">
        <v>53</v>
      </c>
      <c r="AA22" s="145" t="s">
        <v>96</v>
      </c>
      <c r="AB22" s="145">
        <v>1</v>
      </c>
      <c r="AC22" s="145" t="s">
        <v>73</v>
      </c>
    </row>
    <row r="23" spans="4:29" s="145" customFormat="1" ht="12.75" customHeight="1">
      <c r="D23" s="145">
        <f aca="true" t="shared" si="2" ref="D23:D79">+D22+1</f>
        <v>146</v>
      </c>
      <c r="E23" s="145">
        <v>2</v>
      </c>
      <c r="F23" s="158" t="s">
        <v>69</v>
      </c>
      <c r="G23" s="145">
        <v>12</v>
      </c>
      <c r="H23" s="153" t="str">
        <f ca="1">IF($B$2="","2. Gruppe M",INDIRECT(ADDRESS(MATCH(G23,$A$1:$A$19,0),MATCH(F23,$A$3:$AE$3,0))))</f>
        <v>TV Cramberg</v>
      </c>
      <c r="I23" s="154" t="s">
        <v>28</v>
      </c>
      <c r="J23" s="158" t="s">
        <v>69</v>
      </c>
      <c r="K23" s="145">
        <v>3</v>
      </c>
      <c r="L23" s="153" t="str">
        <f ca="1">IF($B$2="","3. Gruppe L",INDIRECT(ADDRESS(MATCH(K23,$A$1:$A$19,0),MATCH(J23,$A$3:$AE$3,0))))</f>
        <v>TV Bremen 1875</v>
      </c>
      <c r="M23" s="158" t="s">
        <v>69</v>
      </c>
      <c r="N23" s="145">
        <v>11</v>
      </c>
      <c r="O23" s="153" t="str">
        <f ca="1">IF($B$2="","1. Gruppe M",INDIRECT(ADDRESS(MATCH(N23,$A$1:$A$19,0),MATCH(M23,$A$3:$AE$3,0))))</f>
        <v>SV Werder Bremen</v>
      </c>
      <c r="P23" s="147"/>
      <c r="Q23" s="145">
        <v>34</v>
      </c>
      <c r="R23" s="154" t="s">
        <v>27</v>
      </c>
      <c r="S23" s="156">
        <v>37</v>
      </c>
      <c r="T23" s="155">
        <f t="shared" si="0"/>
        <v>0</v>
      </c>
      <c r="U23" s="154" t="s">
        <v>27</v>
      </c>
      <c r="V23" s="156">
        <f t="shared" si="1"/>
        <v>2</v>
      </c>
      <c r="X23" s="154" t="s">
        <v>53</v>
      </c>
      <c r="Y23" s="154" t="s">
        <v>53</v>
      </c>
      <c r="AA23" s="145" t="s">
        <v>96</v>
      </c>
      <c r="AB23" s="145">
        <v>1</v>
      </c>
      <c r="AC23" s="145" t="s">
        <v>73</v>
      </c>
    </row>
    <row r="24" spans="4:29" s="145" customFormat="1" ht="12.75" customHeight="1">
      <c r="D24" s="145">
        <f t="shared" si="2"/>
        <v>147</v>
      </c>
      <c r="E24" s="145">
        <v>3</v>
      </c>
      <c r="F24" s="158" t="s">
        <v>23</v>
      </c>
      <c r="G24" s="145">
        <v>2</v>
      </c>
      <c r="H24" s="153" t="str">
        <f ca="1">IF($B$2="","2. Gruppe A",INDIRECT(ADDRESS(MATCH(G24,$A$1:$A$19,0),MATCH(F24,$A$3:$AE$3,0))))</f>
        <v>SF Ricklingen</v>
      </c>
      <c r="I24" s="154" t="s">
        <v>28</v>
      </c>
      <c r="J24" s="158" t="s">
        <v>23</v>
      </c>
      <c r="K24" s="145">
        <v>13</v>
      </c>
      <c r="L24" s="153" t="str">
        <f ca="1">IF($B$2="","3. Gruppe B",INDIRECT(ADDRESS(MATCH(K24,$A$1:$A$19,0),MATCH(J24,$A$3:$AE$3,0))))</f>
        <v>VT Contwig</v>
      </c>
      <c r="M24" s="158" t="s">
        <v>23</v>
      </c>
      <c r="N24" s="145">
        <v>1</v>
      </c>
      <c r="O24" s="153" t="str">
        <f ca="1">IF($B$2="","1. Gruppe A",INDIRECT(ADDRESS(MATCH(N24,$A$1:$A$19,0),MATCH(M24,$A$3:$AE$3,0))))</f>
        <v>TV Viersen</v>
      </c>
      <c r="P24" s="147"/>
      <c r="Q24" s="145">
        <v>32</v>
      </c>
      <c r="R24" s="154" t="s">
        <v>27</v>
      </c>
      <c r="S24" s="156">
        <v>31</v>
      </c>
      <c r="T24" s="155">
        <f t="shared" si="0"/>
        <v>2</v>
      </c>
      <c r="U24" s="154" t="s">
        <v>27</v>
      </c>
      <c r="V24" s="156">
        <f t="shared" si="1"/>
        <v>0</v>
      </c>
      <c r="X24" s="154" t="s">
        <v>53</v>
      </c>
      <c r="Y24" s="154" t="s">
        <v>53</v>
      </c>
      <c r="AA24" s="145" t="s">
        <v>96</v>
      </c>
      <c r="AB24" s="145">
        <v>2</v>
      </c>
      <c r="AC24" s="145" t="s">
        <v>73</v>
      </c>
    </row>
    <row r="25" spans="2:29" s="145" customFormat="1" ht="12.75" customHeight="1">
      <c r="B25" s="159"/>
      <c r="C25" s="159"/>
      <c r="D25" s="159">
        <f t="shared" si="2"/>
        <v>148</v>
      </c>
      <c r="E25" s="159">
        <v>4</v>
      </c>
      <c r="F25" s="160" t="s">
        <v>23</v>
      </c>
      <c r="G25" s="159">
        <v>12</v>
      </c>
      <c r="H25" s="161" t="str">
        <f ca="1">IF($B$2="","2. Gruppe B",INDIRECT(ADDRESS(MATCH(G25,$A$1:$A$19,0),MATCH(F25,$A$3:$AE$3,0))))</f>
        <v>TuS Ferndorf</v>
      </c>
      <c r="I25" s="162" t="s">
        <v>28</v>
      </c>
      <c r="J25" s="160" t="s">
        <v>23</v>
      </c>
      <c r="K25" s="159">
        <v>3</v>
      </c>
      <c r="L25" s="161" t="str">
        <f ca="1">IF($B$2="","3. Gruppe A",INDIRECT(ADDRESS(MATCH(K25,$A$1:$A$19,0),MATCH(J25,$A$3:$AE$3,0))))</f>
        <v>TSV Krumbach</v>
      </c>
      <c r="M25" s="160" t="s">
        <v>23</v>
      </c>
      <c r="N25" s="159">
        <v>11</v>
      </c>
      <c r="O25" s="161" t="str">
        <f ca="1">IF($B$2="","1. Gruppe B",INDIRECT(ADDRESS(MATCH(N25,$A$1:$A$19,0),MATCH(M25,$A$3:$AE$3,0))))</f>
        <v>SV Werder Bremen</v>
      </c>
      <c r="P25" s="163"/>
      <c r="Q25" s="159">
        <v>36</v>
      </c>
      <c r="R25" s="162" t="s">
        <v>27</v>
      </c>
      <c r="S25" s="165">
        <v>35</v>
      </c>
      <c r="T25" s="164">
        <f t="shared" si="0"/>
        <v>2</v>
      </c>
      <c r="U25" s="162" t="s">
        <v>27</v>
      </c>
      <c r="V25" s="165">
        <f t="shared" si="1"/>
        <v>0</v>
      </c>
      <c r="W25" s="152"/>
      <c r="X25" s="162" t="s">
        <v>53</v>
      </c>
      <c r="Y25" s="162" t="s">
        <v>53</v>
      </c>
      <c r="AA25" s="145" t="s">
        <v>96</v>
      </c>
      <c r="AB25" s="145">
        <v>2</v>
      </c>
      <c r="AC25" s="145" t="s">
        <v>73</v>
      </c>
    </row>
    <row r="26" spans="2:29" s="145" customFormat="1" ht="12.75" customHeight="1">
      <c r="B26" s="152">
        <f>+B22+1</f>
        <v>2</v>
      </c>
      <c r="C26" s="150">
        <f>+Daten!P5</f>
        <v>0.3923611111111111</v>
      </c>
      <c r="D26" s="152">
        <f>+D25+1</f>
        <v>149</v>
      </c>
      <c r="E26" s="152">
        <v>1</v>
      </c>
      <c r="F26" s="151" t="s">
        <v>22</v>
      </c>
      <c r="G26" s="152">
        <v>2</v>
      </c>
      <c r="H26" s="153" t="str">
        <f ca="1">IF($B$2="","2. Gruppe J",INDIRECT(ADDRESS(MATCH(G26,$A$1:$A$19,0),MATCH(F26,$A$3:$AE$3,0))))</f>
        <v>TSV Ludwigshafen</v>
      </c>
      <c r="I26" s="157" t="s">
        <v>28</v>
      </c>
      <c r="J26" s="151" t="s">
        <v>22</v>
      </c>
      <c r="K26" s="152">
        <v>13</v>
      </c>
      <c r="L26" s="153" t="str">
        <f ca="1">IF($B$2="","3. Gruppe K",INDIRECT(ADDRESS(MATCH(K26,$A$1:$A$19,0),MATCH(J26,$A$3:$AE$3,0))))</f>
        <v>VSK Osterholz Scharmbeck</v>
      </c>
      <c r="M26" s="151" t="s">
        <v>22</v>
      </c>
      <c r="N26" s="152">
        <v>1</v>
      </c>
      <c r="O26" s="153" t="str">
        <f ca="1">IF($B$2="","1. Gruppe J",INDIRECT(ADDRESS(MATCH(N26,$A$1:$A$19,0),MATCH(M26,$A$3:$AE$3,0))))</f>
        <v>Barmer TG</v>
      </c>
      <c r="P26" s="169"/>
      <c r="Q26" s="152">
        <v>45</v>
      </c>
      <c r="R26" s="157" t="s">
        <v>27</v>
      </c>
      <c r="S26" s="171">
        <v>31</v>
      </c>
      <c r="T26" s="170">
        <f>IF(Q26="","",IF(Q26&gt;S26,2,IF(Q26&lt;S26,0,1)))</f>
        <v>2</v>
      </c>
      <c r="U26" s="157" t="s">
        <v>27</v>
      </c>
      <c r="V26" s="171">
        <f>IF(S26="","",IF(S26&gt;Q26,2,IF(S26&lt;Q26,0,1)))</f>
        <v>0</v>
      </c>
      <c r="X26" s="157" t="s">
        <v>53</v>
      </c>
      <c r="Y26" s="157" t="s">
        <v>53</v>
      </c>
      <c r="AA26" s="145" t="s">
        <v>96</v>
      </c>
      <c r="AB26" s="145">
        <v>3</v>
      </c>
      <c r="AC26" s="145" t="s">
        <v>73</v>
      </c>
    </row>
    <row r="27" spans="2:29" s="145" customFormat="1" ht="12.75" customHeight="1">
      <c r="B27" s="152"/>
      <c r="C27" s="152"/>
      <c r="D27" s="152">
        <f>+D26+1</f>
        <v>150</v>
      </c>
      <c r="E27" s="152">
        <v>2</v>
      </c>
      <c r="F27" s="151" t="s">
        <v>22</v>
      </c>
      <c r="G27" s="152">
        <v>12</v>
      </c>
      <c r="H27" s="153" t="str">
        <f ca="1">IF($B$2="","2. Gruppe K",INDIRECT(ADDRESS(MATCH(G27,$A$1:$A$19,0),MATCH(F27,$A$3:$AE$3,0))))</f>
        <v>TV Wertheim</v>
      </c>
      <c r="I27" s="157" t="s">
        <v>28</v>
      </c>
      <c r="J27" s="151" t="s">
        <v>22</v>
      </c>
      <c r="K27" s="152">
        <v>3</v>
      </c>
      <c r="L27" s="153" t="str">
        <f ca="1">IF($B$2="","3. Gruppe J",INDIRECT(ADDRESS(MATCH(K27,$A$1:$A$19,0),MATCH(J27,$A$3:$AE$3,0))))</f>
        <v>MTV Itzehoe</v>
      </c>
      <c r="M27" s="151" t="s">
        <v>22</v>
      </c>
      <c r="N27" s="152">
        <v>11</v>
      </c>
      <c r="O27" s="153" t="str">
        <f ca="1">IF($B$2="","1. Gruppe K",INDIRECT(ADDRESS(MATCH(N27,$A$1:$A$19,0),MATCH(M27,$A$3:$AE$3,0))))</f>
        <v>TG Giengen</v>
      </c>
      <c r="P27" s="169"/>
      <c r="Q27" s="152">
        <v>33</v>
      </c>
      <c r="R27" s="157" t="s">
        <v>27</v>
      </c>
      <c r="S27" s="171">
        <v>32</v>
      </c>
      <c r="T27" s="170">
        <f>IF(Q27="","",IF(Q27&gt;S27,2,IF(Q27&lt;S27,0,1)))</f>
        <v>2</v>
      </c>
      <c r="U27" s="157" t="s">
        <v>27</v>
      </c>
      <c r="V27" s="171">
        <f>IF(S27="","",IF(S27&gt;Q27,2,IF(S27&lt;Q27,0,1)))</f>
        <v>0</v>
      </c>
      <c r="W27" s="152"/>
      <c r="X27" s="157" t="s">
        <v>53</v>
      </c>
      <c r="Y27" s="157" t="s">
        <v>53</v>
      </c>
      <c r="AA27" s="145" t="s">
        <v>96</v>
      </c>
      <c r="AB27" s="145">
        <v>3</v>
      </c>
      <c r="AC27" s="145" t="s">
        <v>73</v>
      </c>
    </row>
    <row r="28" spans="2:29" ht="12.75">
      <c r="B28" s="145"/>
      <c r="C28" s="150"/>
      <c r="D28" s="145">
        <f>+D27+1</f>
        <v>151</v>
      </c>
      <c r="E28" s="145">
        <v>3</v>
      </c>
      <c r="F28" s="158" t="s">
        <v>21</v>
      </c>
      <c r="G28" s="145">
        <v>2</v>
      </c>
      <c r="H28" s="153" t="str">
        <f ca="1">IF($B$2="","2. Gruppe E",INDIRECT(ADDRESS(MATCH(G28,$A$1:$A$19,0),MATCH(F28,$A$3:$AE$3,0))))</f>
        <v>TV Wertheim</v>
      </c>
      <c r="I28" s="154" t="s">
        <v>28</v>
      </c>
      <c r="J28" s="158" t="s">
        <v>21</v>
      </c>
      <c r="K28" s="145">
        <v>13</v>
      </c>
      <c r="L28" s="153" t="str">
        <f ca="1">IF($B$2="","3. Gruppe F",INDIRECT(ADDRESS(MATCH(K28,$A$1:$A$19,0),MATCH(J28,$A$3:$AE$3,0))))</f>
        <v>TV Grohn</v>
      </c>
      <c r="M28" s="158" t="s">
        <v>21</v>
      </c>
      <c r="N28" s="145">
        <v>1</v>
      </c>
      <c r="O28" s="153" t="str">
        <f ca="1">IF($B$2="","1. Gruppe E",INDIRECT(ADDRESS(MATCH(N28,$A$1:$A$19,0),MATCH(M28,$A$3:$AE$3,0))))</f>
        <v>TV Berkenbaum</v>
      </c>
      <c r="P28" s="147"/>
      <c r="Q28" s="145">
        <v>41</v>
      </c>
      <c r="R28" s="154" t="s">
        <v>27</v>
      </c>
      <c r="S28" s="156">
        <v>32</v>
      </c>
      <c r="T28" s="155">
        <f t="shared" si="0"/>
        <v>2</v>
      </c>
      <c r="U28" s="154" t="s">
        <v>27</v>
      </c>
      <c r="V28" s="156">
        <f t="shared" si="1"/>
        <v>0</v>
      </c>
      <c r="X28" s="154" t="s">
        <v>53</v>
      </c>
      <c r="Y28" s="154" t="s">
        <v>53</v>
      </c>
      <c r="AA28" s="145" t="s">
        <v>96</v>
      </c>
      <c r="AB28" s="145">
        <v>4</v>
      </c>
      <c r="AC28" s="145" t="s">
        <v>73</v>
      </c>
    </row>
    <row r="29" spans="2:29" ht="12.75">
      <c r="B29" s="159"/>
      <c r="C29" s="159"/>
      <c r="D29" s="159">
        <f t="shared" si="2"/>
        <v>152</v>
      </c>
      <c r="E29" s="159">
        <v>4</v>
      </c>
      <c r="F29" s="160" t="s">
        <v>21</v>
      </c>
      <c r="G29" s="159">
        <v>12</v>
      </c>
      <c r="H29" s="161" t="str">
        <f ca="1">IF($B$2="","2. Gruppe F",INDIRECT(ADDRESS(MATCH(G29,$A$1:$A$19,0),MATCH(F29,$A$3:$AE$3,0))))</f>
        <v>TV FA Altenbochum</v>
      </c>
      <c r="I29" s="162" t="s">
        <v>28</v>
      </c>
      <c r="J29" s="160" t="s">
        <v>21</v>
      </c>
      <c r="K29" s="159">
        <v>3</v>
      </c>
      <c r="L29" s="161" t="str">
        <f ca="1">IF($B$2="","3. Gruppe E",INDIRECT(ADDRESS(MATCH(K29,$A$1:$A$19,0),MATCH(J29,$A$3:$AE$3,0))))</f>
        <v>TSV Burgdorf</v>
      </c>
      <c r="M29" s="160" t="s">
        <v>21</v>
      </c>
      <c r="N29" s="159">
        <v>11</v>
      </c>
      <c r="O29" s="161" t="str">
        <f ca="1">IF($B$2="","1. Gruppe F",INDIRECT(ADDRESS(MATCH(N29,$A$1:$A$19,0),MATCH(M29,$A$3:$AE$3,0))))</f>
        <v>SF Ricklingen</v>
      </c>
      <c r="P29" s="163"/>
      <c r="Q29" s="159">
        <v>41</v>
      </c>
      <c r="R29" s="162" t="s">
        <v>27</v>
      </c>
      <c r="S29" s="165">
        <v>34</v>
      </c>
      <c r="T29" s="164">
        <f t="shared" si="0"/>
        <v>2</v>
      </c>
      <c r="U29" s="162" t="s">
        <v>27</v>
      </c>
      <c r="V29" s="165">
        <f t="shared" si="1"/>
        <v>0</v>
      </c>
      <c r="W29" s="166"/>
      <c r="X29" s="162" t="s">
        <v>53</v>
      </c>
      <c r="Y29" s="162" t="s">
        <v>53</v>
      </c>
      <c r="AA29" s="145" t="s">
        <v>96</v>
      </c>
      <c r="AB29" s="145">
        <v>4</v>
      </c>
      <c r="AC29" s="145" t="s">
        <v>73</v>
      </c>
    </row>
    <row r="30" spans="2:29" ht="12.75">
      <c r="B30" s="152">
        <f>+B26+1</f>
        <v>3</v>
      </c>
      <c r="C30" s="150">
        <f>+Daten!P6</f>
        <v>0.4097222222222222</v>
      </c>
      <c r="D30" s="152">
        <f t="shared" si="2"/>
        <v>153</v>
      </c>
      <c r="E30" s="152">
        <v>1</v>
      </c>
      <c r="F30" s="151" t="s">
        <v>20</v>
      </c>
      <c r="G30" s="152">
        <v>2</v>
      </c>
      <c r="H30" s="153" t="str">
        <f ca="1">IF($B$2="","2. Gruppe G",INDIRECT(ADDRESS(MATCH(G30,$A$1:$A$19,0),MATCH(F30,$A$3:$AE$3,0))))</f>
        <v>MTV Eiche Schönebeck</v>
      </c>
      <c r="I30" s="157" t="s">
        <v>28</v>
      </c>
      <c r="J30" s="151" t="s">
        <v>20</v>
      </c>
      <c r="K30" s="152">
        <v>13</v>
      </c>
      <c r="L30" s="153" t="str">
        <f ca="1">IF($B$2="","3. Gruppe H",INDIRECT(ADDRESS(MATCH(K30,$A$1:$A$19,0),MATCH(J30,$A$3:$AE$3,0))))</f>
        <v>SKG Ober Ramstadt</v>
      </c>
      <c r="M30" s="151" t="s">
        <v>20</v>
      </c>
      <c r="N30" s="152">
        <v>1</v>
      </c>
      <c r="O30" s="153" t="str">
        <f ca="1">IF($B$2="","1. Gruppe G",INDIRECT(ADDRESS(MATCH(N30,$A$1:$A$19,0),MATCH(M30,$A$3:$AE$3,0))))</f>
        <v>TSV Radevormwald</v>
      </c>
      <c r="P30" s="169"/>
      <c r="Q30" s="152">
        <v>42</v>
      </c>
      <c r="R30" s="157" t="s">
        <v>27</v>
      </c>
      <c r="S30" s="171">
        <v>36</v>
      </c>
      <c r="T30" s="170">
        <f t="shared" si="0"/>
        <v>2</v>
      </c>
      <c r="U30" s="157" t="s">
        <v>27</v>
      </c>
      <c r="V30" s="171">
        <f t="shared" si="1"/>
        <v>0</v>
      </c>
      <c r="W30" s="166"/>
      <c r="X30" s="157" t="s">
        <v>53</v>
      </c>
      <c r="Y30" s="157" t="s">
        <v>53</v>
      </c>
      <c r="AA30" s="145" t="s">
        <v>96</v>
      </c>
      <c r="AB30" s="145">
        <v>5</v>
      </c>
      <c r="AC30" s="145" t="s">
        <v>73</v>
      </c>
    </row>
    <row r="31" spans="2:29" ht="12.75">
      <c r="B31" s="152"/>
      <c r="C31" s="152"/>
      <c r="D31" s="152">
        <f t="shared" si="2"/>
        <v>154</v>
      </c>
      <c r="E31" s="152">
        <v>2</v>
      </c>
      <c r="F31" s="151" t="s">
        <v>20</v>
      </c>
      <c r="G31" s="152">
        <v>12</v>
      </c>
      <c r="H31" s="153" t="str">
        <f ca="1">IF($B$2="","2. Gruppe H",INDIRECT(ADDRESS(MATCH(G31,$A$1:$A$19,0),MATCH(F31,$A$3:$AE$3,0))))</f>
        <v>TV Baden</v>
      </c>
      <c r="I31" s="157" t="s">
        <v>28</v>
      </c>
      <c r="J31" s="151" t="s">
        <v>20</v>
      </c>
      <c r="K31" s="152">
        <v>3</v>
      </c>
      <c r="L31" s="153" t="str">
        <f ca="1">IF($B$2="","3. Gruppe G",INDIRECT(ADDRESS(MATCH(K31,$A$1:$A$19,0),MATCH(J31,$A$3:$AE$3,0))))</f>
        <v>TV Edingen</v>
      </c>
      <c r="M31" s="151" t="s">
        <v>20</v>
      </c>
      <c r="N31" s="152">
        <v>11</v>
      </c>
      <c r="O31" s="153" t="str">
        <f ca="1">IF($B$2="","1. Gruppe H",INDIRECT(ADDRESS(MATCH(N31,$A$1:$A$19,0),MATCH(M31,$A$3:$AE$3,0))))</f>
        <v>VfL Hannover</v>
      </c>
      <c r="P31" s="169"/>
      <c r="Q31" s="152">
        <v>32</v>
      </c>
      <c r="R31" s="157" t="s">
        <v>27</v>
      </c>
      <c r="S31" s="171">
        <v>42</v>
      </c>
      <c r="T31" s="170">
        <f t="shared" si="0"/>
        <v>0</v>
      </c>
      <c r="U31" s="157" t="s">
        <v>27</v>
      </c>
      <c r="V31" s="171">
        <f t="shared" si="1"/>
        <v>2</v>
      </c>
      <c r="W31" s="166"/>
      <c r="X31" s="157" t="s">
        <v>53</v>
      </c>
      <c r="Y31" s="157" t="s">
        <v>53</v>
      </c>
      <c r="AA31" s="145" t="s">
        <v>96</v>
      </c>
      <c r="AB31" s="145">
        <v>5</v>
      </c>
      <c r="AC31" s="145" t="s">
        <v>73</v>
      </c>
    </row>
    <row r="32" spans="2:29" ht="12.75">
      <c r="B32" s="152"/>
      <c r="C32" s="152"/>
      <c r="D32" s="152">
        <f>+D31+1</f>
        <v>155</v>
      </c>
      <c r="E32" s="152">
        <v>3</v>
      </c>
      <c r="F32" s="151" t="s">
        <v>19</v>
      </c>
      <c r="G32" s="152">
        <v>2</v>
      </c>
      <c r="H32" s="153" t="str">
        <f ca="1">IF($B$2="","2. Gruppe C",INDIRECT(ADDRESS(MATCH(G32,$A$1:$A$19,0),MATCH(F32,$A$3:$AE$3,0))))</f>
        <v>TV Kleefeld</v>
      </c>
      <c r="I32" s="157" t="s">
        <v>28</v>
      </c>
      <c r="J32" s="151" t="s">
        <v>19</v>
      </c>
      <c r="K32" s="152">
        <v>13</v>
      </c>
      <c r="L32" s="153" t="str">
        <f ca="1">IF($B$2="","3. Gruppe D",INDIRECT(ADDRESS(MATCH(K32,$A$1:$A$19,0),MATCH(J32,$A$3:$AE$3,0))))</f>
        <v>VfK 1901 Berlin</v>
      </c>
      <c r="M32" s="151" t="s">
        <v>19</v>
      </c>
      <c r="N32" s="152">
        <v>1</v>
      </c>
      <c r="O32" s="153" t="str">
        <f ca="1">IF($B$2="","1. Gruppe C",INDIRECT(ADDRESS(MATCH(N32,$A$1:$A$19,0),MATCH(M32,$A$3:$AE$3,0))))</f>
        <v>TSV Krumbach</v>
      </c>
      <c r="P32" s="169"/>
      <c r="Q32" s="152">
        <v>49</v>
      </c>
      <c r="R32" s="157" t="s">
        <v>27</v>
      </c>
      <c r="S32" s="171">
        <v>48</v>
      </c>
      <c r="T32" s="170">
        <f t="shared" si="0"/>
        <v>2</v>
      </c>
      <c r="U32" s="157" t="s">
        <v>27</v>
      </c>
      <c r="V32" s="171">
        <f t="shared" si="1"/>
        <v>0</v>
      </c>
      <c r="W32" s="145"/>
      <c r="X32" s="157" t="s">
        <v>53</v>
      </c>
      <c r="Y32" s="157" t="s">
        <v>53</v>
      </c>
      <c r="AA32" s="145" t="s">
        <v>96</v>
      </c>
      <c r="AB32" s="145">
        <v>6</v>
      </c>
      <c r="AC32" s="145" t="s">
        <v>73</v>
      </c>
    </row>
    <row r="33" spans="2:29" ht="12.75">
      <c r="B33" s="159"/>
      <c r="C33" s="159"/>
      <c r="D33" s="159">
        <f>+D32+1</f>
        <v>156</v>
      </c>
      <c r="E33" s="159">
        <v>4</v>
      </c>
      <c r="F33" s="160" t="s">
        <v>19</v>
      </c>
      <c r="G33" s="159">
        <v>12</v>
      </c>
      <c r="H33" s="161" t="str">
        <f ca="1">IF($B$2="","2. Gruppe D",INDIRECT(ADDRESS(MATCH(G33,$A$1:$A$19,0),MATCH(F33,$A$3:$AE$3,0))))</f>
        <v>SV Prag Stuttgart</v>
      </c>
      <c r="I33" s="162" t="s">
        <v>28</v>
      </c>
      <c r="J33" s="160" t="s">
        <v>19</v>
      </c>
      <c r="K33" s="159">
        <v>3</v>
      </c>
      <c r="L33" s="161" t="str">
        <f ca="1">IF($B$2="","3. Gruppe C",INDIRECT(ADDRESS(MATCH(K33,$A$1:$A$19,0),MATCH(J33,$A$3:$AE$3,0))))</f>
        <v>TV Kierdorf</v>
      </c>
      <c r="M33" s="160" t="s">
        <v>19</v>
      </c>
      <c r="N33" s="159">
        <v>11</v>
      </c>
      <c r="O33" s="161" t="str">
        <f ca="1">IF($B$2="","1. Gruppe D",INDIRECT(ADDRESS(MATCH(N33,$A$1:$A$19,0),MATCH(M33,$A$3:$AE$3,0))))</f>
        <v>SV Weiler</v>
      </c>
      <c r="P33" s="163"/>
      <c r="Q33" s="159">
        <v>31</v>
      </c>
      <c r="R33" s="162" t="s">
        <v>27</v>
      </c>
      <c r="S33" s="165">
        <v>29</v>
      </c>
      <c r="T33" s="164">
        <f t="shared" si="0"/>
        <v>2</v>
      </c>
      <c r="U33" s="162" t="s">
        <v>27</v>
      </c>
      <c r="V33" s="165">
        <f t="shared" si="1"/>
        <v>0</v>
      </c>
      <c r="W33" s="145"/>
      <c r="X33" s="162" t="s">
        <v>53</v>
      </c>
      <c r="Y33" s="162" t="s">
        <v>53</v>
      </c>
      <c r="AA33" s="145" t="s">
        <v>96</v>
      </c>
      <c r="AB33" s="145">
        <v>6</v>
      </c>
      <c r="AC33" s="145" t="s">
        <v>73</v>
      </c>
    </row>
    <row r="34" spans="2:29" ht="12.75" customHeight="1">
      <c r="B34" s="152">
        <f>+B30+1</f>
        <v>4</v>
      </c>
      <c r="C34" s="150">
        <f>+Daten!P7</f>
        <v>0.4270833333333333</v>
      </c>
      <c r="D34" s="145">
        <f>+D33+1</f>
        <v>157</v>
      </c>
      <c r="E34" s="145">
        <v>1</v>
      </c>
      <c r="F34" s="158" t="s">
        <v>69</v>
      </c>
      <c r="G34" s="145">
        <v>1</v>
      </c>
      <c r="H34" s="153" t="str">
        <f ca="1">IF($B$2="","1. Gruppe L",INDIRECT(ADDRESS(MATCH(G34,$A$1:$A$19,0),MATCH(F34,$A$3:$AE$3,0))))</f>
        <v>Eiserfelder TV</v>
      </c>
      <c r="I34" s="154" t="s">
        <v>28</v>
      </c>
      <c r="J34" s="158" t="s">
        <v>69</v>
      </c>
      <c r="K34" s="145"/>
      <c r="L34" s="153" t="str">
        <f>IF($T$23="","S. "&amp;$D$23,IF(T23=2,H23,L23))</f>
        <v>TV Bremen 1875</v>
      </c>
      <c r="M34" s="158" t="s">
        <v>69</v>
      </c>
      <c r="N34" s="152"/>
      <c r="O34" s="183" t="str">
        <f>IF($T$22="","V. "&amp;$D$22,IF($T$22=0,$H$22,$L$22))</f>
        <v>TSV Burgdorf</v>
      </c>
      <c r="P34" s="147"/>
      <c r="Q34" s="145">
        <v>39</v>
      </c>
      <c r="R34" s="154" t="s">
        <v>27</v>
      </c>
      <c r="S34" s="156">
        <v>30</v>
      </c>
      <c r="T34" s="155">
        <f t="shared" si="0"/>
        <v>2</v>
      </c>
      <c r="U34" s="154" t="s">
        <v>27</v>
      </c>
      <c r="V34" s="156">
        <f t="shared" si="1"/>
        <v>0</v>
      </c>
      <c r="X34" s="154" t="s">
        <v>53</v>
      </c>
      <c r="Y34" s="154" t="s">
        <v>53</v>
      </c>
      <c r="AA34" s="145" t="s">
        <v>97</v>
      </c>
      <c r="AB34" s="145">
        <v>1</v>
      </c>
      <c r="AC34" s="145" t="s">
        <v>72</v>
      </c>
    </row>
    <row r="35" spans="2:29" ht="12.75">
      <c r="B35" s="145"/>
      <c r="C35" s="145"/>
      <c r="D35" s="145">
        <f t="shared" si="2"/>
        <v>158</v>
      </c>
      <c r="E35" s="145">
        <v>2</v>
      </c>
      <c r="F35" s="158" t="s">
        <v>69</v>
      </c>
      <c r="G35" s="145">
        <v>11</v>
      </c>
      <c r="H35" s="153" t="str">
        <f ca="1">IF($B$2="","1. Gruppe M",INDIRECT(ADDRESS(MATCH(G35,$A$1:$A$19,0),MATCH(F35,$A$3:$AE$3,0))))</f>
        <v>SV Werder Bremen</v>
      </c>
      <c r="I35" s="154" t="s">
        <v>28</v>
      </c>
      <c r="J35" s="158" t="s">
        <v>69</v>
      </c>
      <c r="K35" s="145"/>
      <c r="L35" s="153" t="str">
        <f>IF($T$22="","S. "&amp;$D$22,IF(T22=2,H22,L22))</f>
        <v>TSV Bayer Leverkusen</v>
      </c>
      <c r="M35" s="158" t="s">
        <v>69</v>
      </c>
      <c r="N35" s="145"/>
      <c r="O35" s="183" t="str">
        <f>IF($T$23="","V. "&amp;$D$23,IF($T$23=0,$H$23,$L$23))</f>
        <v>TV Cramberg</v>
      </c>
      <c r="P35" s="147"/>
      <c r="Q35" s="145">
        <v>34</v>
      </c>
      <c r="R35" s="154" t="s">
        <v>27</v>
      </c>
      <c r="S35" s="156">
        <v>35</v>
      </c>
      <c r="T35" s="155">
        <f t="shared" si="0"/>
        <v>0</v>
      </c>
      <c r="U35" s="154" t="s">
        <v>27</v>
      </c>
      <c r="V35" s="156">
        <f t="shared" si="1"/>
        <v>2</v>
      </c>
      <c r="X35" s="154" t="s">
        <v>53</v>
      </c>
      <c r="Y35" s="154" t="s">
        <v>53</v>
      </c>
      <c r="AA35" s="145" t="s">
        <v>97</v>
      </c>
      <c r="AB35" s="145">
        <v>1</v>
      </c>
      <c r="AC35" s="145" t="s">
        <v>72</v>
      </c>
    </row>
    <row r="36" spans="2:29" ht="12.75">
      <c r="B36" s="145"/>
      <c r="C36" s="145"/>
      <c r="D36" s="145">
        <f t="shared" si="2"/>
        <v>159</v>
      </c>
      <c r="E36" s="145">
        <v>3</v>
      </c>
      <c r="F36" s="158" t="s">
        <v>23</v>
      </c>
      <c r="G36" s="152">
        <v>1</v>
      </c>
      <c r="H36" s="153" t="str">
        <f ca="1">IF($B$2="","1. Gruppe A",INDIRECT(ADDRESS(MATCH(G36,$A$1:$A$19,0),MATCH(F36,$A$3:$AE$3,0))))</f>
        <v>TV Viersen</v>
      </c>
      <c r="I36" s="154" t="s">
        <v>28</v>
      </c>
      <c r="J36" s="158" t="s">
        <v>23</v>
      </c>
      <c r="K36" s="152"/>
      <c r="L36" s="153" t="str">
        <f>IF($T$25="","S. "&amp;$D$25,IF(T25=2,H25,L25))</f>
        <v>TuS Ferndorf</v>
      </c>
      <c r="M36" s="158" t="s">
        <v>23</v>
      </c>
      <c r="N36" s="152"/>
      <c r="O36" s="183" t="str">
        <f>IF($T$24="","V. "&amp;$D$24,IF($T$24=0,$H$24,$L$24))</f>
        <v>VT Contwig</v>
      </c>
      <c r="P36" s="147"/>
      <c r="Q36" s="145">
        <v>35</v>
      </c>
      <c r="R36" s="154" t="s">
        <v>27</v>
      </c>
      <c r="S36" s="156">
        <v>36</v>
      </c>
      <c r="T36" s="155">
        <f t="shared" si="0"/>
        <v>0</v>
      </c>
      <c r="U36" s="154" t="s">
        <v>27</v>
      </c>
      <c r="V36" s="156">
        <f t="shared" si="1"/>
        <v>2</v>
      </c>
      <c r="X36" s="154" t="s">
        <v>53</v>
      </c>
      <c r="Y36" s="154" t="s">
        <v>53</v>
      </c>
      <c r="AA36" s="145" t="s">
        <v>97</v>
      </c>
      <c r="AB36" s="145">
        <v>2</v>
      </c>
      <c r="AC36" s="145" t="s">
        <v>72</v>
      </c>
    </row>
    <row r="37" spans="2:29" ht="12.75">
      <c r="B37" s="159"/>
      <c r="C37" s="159"/>
      <c r="D37" s="159">
        <f t="shared" si="2"/>
        <v>160</v>
      </c>
      <c r="E37" s="159">
        <v>4</v>
      </c>
      <c r="F37" s="160" t="s">
        <v>23</v>
      </c>
      <c r="G37" s="159">
        <v>11</v>
      </c>
      <c r="H37" s="161" t="str">
        <f ca="1">IF($B$2="","1. Gruppe B",INDIRECT(ADDRESS(MATCH(G37,$A$1:$A$19,0),MATCH(F37,$A$3:$AE$3,0))))</f>
        <v>SV Werder Bremen</v>
      </c>
      <c r="I37" s="162" t="s">
        <v>28</v>
      </c>
      <c r="J37" s="160" t="s">
        <v>23</v>
      </c>
      <c r="K37" s="159"/>
      <c r="L37" s="161" t="str">
        <f>IF($T$24="","S. "&amp;$D$24,IF(T24=2,H24,L24))</f>
        <v>SF Ricklingen</v>
      </c>
      <c r="M37" s="160" t="s">
        <v>23</v>
      </c>
      <c r="N37" s="159"/>
      <c r="O37" s="173" t="str">
        <f>IF($T$25="","V. "&amp;$D$25,IF($T$25=0,$H$25,$L$25))</f>
        <v>TSV Krumbach</v>
      </c>
      <c r="P37" s="163"/>
      <c r="Q37" s="159">
        <v>38</v>
      </c>
      <c r="R37" s="162" t="s">
        <v>27</v>
      </c>
      <c r="S37" s="165">
        <v>41</v>
      </c>
      <c r="T37" s="164">
        <f t="shared" si="0"/>
        <v>0</v>
      </c>
      <c r="U37" s="162" t="s">
        <v>27</v>
      </c>
      <c r="V37" s="165">
        <f t="shared" si="1"/>
        <v>2</v>
      </c>
      <c r="W37" s="166"/>
      <c r="X37" s="162" t="s">
        <v>53</v>
      </c>
      <c r="Y37" s="162" t="s">
        <v>53</v>
      </c>
      <c r="AA37" s="145" t="s">
        <v>97</v>
      </c>
      <c r="AB37" s="145">
        <v>2</v>
      </c>
      <c r="AC37" s="145" t="s">
        <v>72</v>
      </c>
    </row>
    <row r="38" spans="2:29" ht="12.75">
      <c r="B38" s="152">
        <f>+B34+1</f>
        <v>5</v>
      </c>
      <c r="C38" s="150">
        <f>+Daten!P8</f>
        <v>0.4444444444444444</v>
      </c>
      <c r="D38" s="152">
        <f>+D37+1</f>
        <v>161</v>
      </c>
      <c r="E38" s="152">
        <v>1</v>
      </c>
      <c r="F38" s="151" t="s">
        <v>22</v>
      </c>
      <c r="G38" s="152">
        <v>1</v>
      </c>
      <c r="H38" s="153" t="str">
        <f ca="1">IF($B$2="","1. Gruppe J",INDIRECT(ADDRESS(MATCH(G38,$A$1:$A$19,0),MATCH(F38,$A$3:$AE$3,0))))</f>
        <v>Barmer TG</v>
      </c>
      <c r="I38" s="157" t="s">
        <v>28</v>
      </c>
      <c r="J38" s="151" t="s">
        <v>22</v>
      </c>
      <c r="K38" s="152"/>
      <c r="L38" s="153" t="str">
        <f>IF($T$27="","S. "&amp;$D$27,IF(T27=2,H27,L27))</f>
        <v>TV Wertheim</v>
      </c>
      <c r="M38" s="151" t="s">
        <v>22</v>
      </c>
      <c r="N38" s="152"/>
      <c r="O38" s="183" t="str">
        <f>IF($T$26="","V. "&amp;$D$26,IF($T$26=0,$H$26,$L$26))</f>
        <v>VSK Osterholz Scharmbeck</v>
      </c>
      <c r="P38" s="169"/>
      <c r="Q38" s="152">
        <v>40</v>
      </c>
      <c r="R38" s="157" t="s">
        <v>27</v>
      </c>
      <c r="S38" s="171">
        <v>31</v>
      </c>
      <c r="T38" s="170">
        <f>IF(Q38="","",IF(Q38&gt;S38,2,IF(Q38&lt;S38,0,1)))</f>
        <v>2</v>
      </c>
      <c r="U38" s="157" t="s">
        <v>27</v>
      </c>
      <c r="V38" s="171">
        <f>IF(S38="","",IF(S38&gt;Q38,2,IF(S38&lt;Q38,0,1)))</f>
        <v>0</v>
      </c>
      <c r="W38" s="145"/>
      <c r="X38" s="157" t="s">
        <v>53</v>
      </c>
      <c r="Y38" s="157" t="s">
        <v>53</v>
      </c>
      <c r="AA38" s="145" t="s">
        <v>97</v>
      </c>
      <c r="AB38" s="145">
        <v>3</v>
      </c>
      <c r="AC38" s="145" t="s">
        <v>72</v>
      </c>
    </row>
    <row r="39" spans="2:29" ht="12.75">
      <c r="B39" s="152"/>
      <c r="C39" s="152"/>
      <c r="D39" s="152">
        <f>+D38+1</f>
        <v>162</v>
      </c>
      <c r="E39" s="152">
        <v>2</v>
      </c>
      <c r="F39" s="151" t="s">
        <v>22</v>
      </c>
      <c r="G39" s="152">
        <v>11</v>
      </c>
      <c r="H39" s="153" t="str">
        <f ca="1">IF($B$2="","1. Gruppe K",INDIRECT(ADDRESS(MATCH(G39,$A$1:$A$19,0),MATCH(F39,$A$3:$AE$3,0))))</f>
        <v>TG Giengen</v>
      </c>
      <c r="I39" s="157" t="s">
        <v>28</v>
      </c>
      <c r="J39" s="151" t="s">
        <v>22</v>
      </c>
      <c r="K39" s="152"/>
      <c r="L39" s="153" t="str">
        <f>IF($T$26="","S. "&amp;$D$26,IF(T26=2,H26,L26))</f>
        <v>TSV Ludwigshafen</v>
      </c>
      <c r="M39" s="151" t="s">
        <v>22</v>
      </c>
      <c r="N39" s="152"/>
      <c r="O39" s="183" t="str">
        <f>IF($T$27="","V. "&amp;$D$27,IF($T$27=0,$H$27,$L$27))</f>
        <v>MTV Itzehoe</v>
      </c>
      <c r="P39" s="169"/>
      <c r="Q39" s="152">
        <v>40</v>
      </c>
      <c r="R39" s="157" t="s">
        <v>27</v>
      </c>
      <c r="S39" s="171">
        <v>39</v>
      </c>
      <c r="T39" s="170">
        <f>IF(Q39="","",IF(Q39&gt;S39,2,IF(Q39&lt;S39,0,1)))</f>
        <v>2</v>
      </c>
      <c r="U39" s="157" t="s">
        <v>27</v>
      </c>
      <c r="V39" s="171">
        <f>IF(S39="","",IF(S39&gt;Q39,2,IF(S39&lt;Q39,0,1)))</f>
        <v>0</v>
      </c>
      <c r="W39" s="152"/>
      <c r="X39" s="157" t="s">
        <v>53</v>
      </c>
      <c r="Y39" s="157" t="s">
        <v>53</v>
      </c>
      <c r="AA39" s="145" t="s">
        <v>97</v>
      </c>
      <c r="AB39" s="145">
        <v>3</v>
      </c>
      <c r="AC39" s="145" t="s">
        <v>72</v>
      </c>
    </row>
    <row r="40" spans="2:29" ht="12.75">
      <c r="B40" s="152"/>
      <c r="C40" s="168"/>
      <c r="D40" s="152">
        <f t="shared" si="2"/>
        <v>163</v>
      </c>
      <c r="E40" s="152">
        <v>3</v>
      </c>
      <c r="F40" s="158" t="s">
        <v>21</v>
      </c>
      <c r="G40" s="152">
        <v>1</v>
      </c>
      <c r="H40" s="153" t="str">
        <f ca="1">IF($B$2="","1. Gruppe E",INDIRECT(ADDRESS(MATCH(G40,$A$1:$A$19,0),MATCH(F40,$A$3:$AE$3,0))))</f>
        <v>TV Berkenbaum</v>
      </c>
      <c r="I40" s="157" t="s">
        <v>28</v>
      </c>
      <c r="J40" s="158" t="s">
        <v>21</v>
      </c>
      <c r="K40" s="152"/>
      <c r="L40" s="153" t="str">
        <f>IF($T$29="","S. "&amp;$D$29,IF(T29=2,H29,L29))</f>
        <v>TV FA Altenbochum</v>
      </c>
      <c r="M40" s="158" t="s">
        <v>21</v>
      </c>
      <c r="N40" s="152"/>
      <c r="O40" s="183" t="str">
        <f>IF($T$28="","V. "&amp;$D$28,IF($T$28=0,$H$28,$L$28))</f>
        <v>TV Grohn</v>
      </c>
      <c r="P40" s="169"/>
      <c r="Q40" s="152">
        <v>31</v>
      </c>
      <c r="R40" s="157" t="s">
        <v>27</v>
      </c>
      <c r="S40" s="171">
        <v>38</v>
      </c>
      <c r="T40" s="170">
        <f t="shared" si="0"/>
        <v>0</v>
      </c>
      <c r="U40" s="157" t="s">
        <v>27</v>
      </c>
      <c r="V40" s="171">
        <f t="shared" si="1"/>
        <v>2</v>
      </c>
      <c r="W40" s="166"/>
      <c r="X40" s="157" t="s">
        <v>53</v>
      </c>
      <c r="Y40" s="157" t="s">
        <v>53</v>
      </c>
      <c r="AA40" s="145" t="s">
        <v>97</v>
      </c>
      <c r="AB40" s="145">
        <v>4</v>
      </c>
      <c r="AC40" s="145" t="s">
        <v>72</v>
      </c>
    </row>
    <row r="41" spans="2:29" ht="12.75">
      <c r="B41" s="159"/>
      <c r="C41" s="159"/>
      <c r="D41" s="159">
        <f t="shared" si="2"/>
        <v>164</v>
      </c>
      <c r="E41" s="159">
        <v>4</v>
      </c>
      <c r="F41" s="160" t="s">
        <v>21</v>
      </c>
      <c r="G41" s="159">
        <v>11</v>
      </c>
      <c r="H41" s="161" t="str">
        <f ca="1">IF($B$2="","1. Gruppe F",INDIRECT(ADDRESS(MATCH(G41,$A$1:$A$19,0),MATCH(F41,$A$3:$AE$3,0))))</f>
        <v>SF Ricklingen</v>
      </c>
      <c r="I41" s="162" t="s">
        <v>28</v>
      </c>
      <c r="J41" s="160" t="s">
        <v>21</v>
      </c>
      <c r="K41" s="159"/>
      <c r="L41" s="161" t="str">
        <f>IF($T$28="","S. "&amp;$D$28,IF(T28=2,H28,L28))</f>
        <v>TV Wertheim</v>
      </c>
      <c r="M41" s="160" t="s">
        <v>21</v>
      </c>
      <c r="N41" s="159"/>
      <c r="O41" s="173" t="str">
        <f>IF($T$29="","V. "&amp;$D$29,IF($T$29=0,$H$29,$L$29))</f>
        <v>TSV Burgdorf</v>
      </c>
      <c r="P41" s="163"/>
      <c r="Q41" s="159">
        <v>35</v>
      </c>
      <c r="R41" s="162" t="s">
        <v>27</v>
      </c>
      <c r="S41" s="165">
        <v>28</v>
      </c>
      <c r="T41" s="164">
        <f t="shared" si="0"/>
        <v>2</v>
      </c>
      <c r="U41" s="162" t="s">
        <v>27</v>
      </c>
      <c r="V41" s="165">
        <f t="shared" si="1"/>
        <v>0</v>
      </c>
      <c r="W41" s="166"/>
      <c r="X41" s="162" t="s">
        <v>53</v>
      </c>
      <c r="Y41" s="162" t="s">
        <v>53</v>
      </c>
      <c r="AA41" s="145" t="s">
        <v>97</v>
      </c>
      <c r="AB41" s="145">
        <v>4</v>
      </c>
      <c r="AC41" s="145" t="s">
        <v>72</v>
      </c>
    </row>
    <row r="42" spans="2:29" ht="12.75">
      <c r="B42" s="152">
        <f>+B38+1</f>
        <v>6</v>
      </c>
      <c r="C42" s="150">
        <f>+Daten!P9</f>
        <v>0.4618055555555555</v>
      </c>
      <c r="D42" s="152">
        <f t="shared" si="2"/>
        <v>165</v>
      </c>
      <c r="E42" s="152">
        <v>1</v>
      </c>
      <c r="F42" s="151" t="s">
        <v>20</v>
      </c>
      <c r="G42" s="152">
        <v>1</v>
      </c>
      <c r="H42" s="153" t="str">
        <f ca="1">IF($B$2="","1. Gruppe G",INDIRECT(ADDRESS(MATCH(G42,$A$1:$A$19,0),MATCH(F42,$A$3:$AE$3,0))))</f>
        <v>TSV Radevormwald</v>
      </c>
      <c r="I42" s="157" t="s">
        <v>28</v>
      </c>
      <c r="J42" s="151" t="s">
        <v>20</v>
      </c>
      <c r="K42" s="152"/>
      <c r="L42" s="153" t="str">
        <f>IF($T$31="","S. "&amp;$D$31,IF(T31=2,H31,L31))</f>
        <v>TV Edingen</v>
      </c>
      <c r="M42" s="151" t="s">
        <v>20</v>
      </c>
      <c r="N42" s="152"/>
      <c r="O42" s="183" t="str">
        <f>IF($T$30="","V. "&amp;$D$30,IF($T$30=0,$H$30,$L$30))</f>
        <v>SKG Ober Ramstadt</v>
      </c>
      <c r="P42" s="169"/>
      <c r="Q42" s="152">
        <v>41</v>
      </c>
      <c r="R42" s="157" t="s">
        <v>27</v>
      </c>
      <c r="S42" s="171">
        <v>32</v>
      </c>
      <c r="T42" s="170">
        <f t="shared" si="0"/>
        <v>2</v>
      </c>
      <c r="U42" s="157" t="s">
        <v>27</v>
      </c>
      <c r="V42" s="171">
        <f t="shared" si="1"/>
        <v>0</v>
      </c>
      <c r="W42" s="166"/>
      <c r="X42" s="157" t="s">
        <v>53</v>
      </c>
      <c r="Y42" s="157" t="s">
        <v>53</v>
      </c>
      <c r="AA42" s="145" t="s">
        <v>97</v>
      </c>
      <c r="AB42" s="145">
        <v>5</v>
      </c>
      <c r="AC42" s="145" t="s">
        <v>72</v>
      </c>
    </row>
    <row r="43" spans="2:29" ht="12.75">
      <c r="B43" s="152"/>
      <c r="C43" s="152"/>
      <c r="D43" s="152">
        <f t="shared" si="2"/>
        <v>166</v>
      </c>
      <c r="E43" s="152">
        <v>2</v>
      </c>
      <c r="F43" s="151" t="s">
        <v>20</v>
      </c>
      <c r="G43" s="152">
        <v>11</v>
      </c>
      <c r="H43" s="153" t="str">
        <f ca="1">IF($B$2="","1. Gruppe H",INDIRECT(ADDRESS(MATCH(G43,$A$1:$A$19,0),MATCH(F43,$A$3:$AE$3,0))))</f>
        <v>VfL Hannover</v>
      </c>
      <c r="I43" s="157" t="s">
        <v>28</v>
      </c>
      <c r="J43" s="151" t="s">
        <v>20</v>
      </c>
      <c r="K43" s="152"/>
      <c r="L43" s="153" t="str">
        <f>IF($T$30="","S. "&amp;$D$30,IF(T30=2,H30,L30))</f>
        <v>MTV Eiche Schönebeck</v>
      </c>
      <c r="M43" s="151" t="s">
        <v>20</v>
      </c>
      <c r="N43" s="152"/>
      <c r="O43" s="183" t="str">
        <f>IF($T$31="","V. "&amp;$D$31,IF($T$31=0,$H$31,$L$31))</f>
        <v>TV Baden</v>
      </c>
      <c r="P43" s="169"/>
      <c r="Q43" s="152">
        <v>36</v>
      </c>
      <c r="R43" s="157" t="s">
        <v>27</v>
      </c>
      <c r="S43" s="171">
        <v>32</v>
      </c>
      <c r="T43" s="170">
        <f t="shared" si="0"/>
        <v>2</v>
      </c>
      <c r="U43" s="157" t="s">
        <v>27</v>
      </c>
      <c r="V43" s="171">
        <f t="shared" si="1"/>
        <v>0</v>
      </c>
      <c r="W43" s="166"/>
      <c r="X43" s="157" t="s">
        <v>53</v>
      </c>
      <c r="Y43" s="157" t="s">
        <v>53</v>
      </c>
      <c r="AA43" s="145" t="s">
        <v>97</v>
      </c>
      <c r="AB43" s="145">
        <v>5</v>
      </c>
      <c r="AC43" s="145" t="s">
        <v>72</v>
      </c>
    </row>
    <row r="44" spans="2:29" ht="12.75">
      <c r="B44" s="152"/>
      <c r="C44" s="152"/>
      <c r="D44" s="152">
        <f t="shared" si="2"/>
        <v>167</v>
      </c>
      <c r="E44" s="152">
        <v>3</v>
      </c>
      <c r="F44" s="151" t="s">
        <v>19</v>
      </c>
      <c r="G44" s="152">
        <v>1</v>
      </c>
      <c r="H44" s="153" t="str">
        <f ca="1">IF($B$2="","1. Gruppe C",INDIRECT(ADDRESS(MATCH(G44,$A$1:$A$19,0),MATCH(F44,$A$3:$AE$3,0))))</f>
        <v>TSV Krumbach</v>
      </c>
      <c r="I44" s="157" t="s">
        <v>28</v>
      </c>
      <c r="J44" s="151" t="s">
        <v>19</v>
      </c>
      <c r="K44" s="152"/>
      <c r="L44" s="153" t="str">
        <f>IF($T$33="","S. "&amp;$D$33,IF(T33=2,H33,L33))</f>
        <v>SV Prag Stuttgart</v>
      </c>
      <c r="M44" s="151" t="s">
        <v>19</v>
      </c>
      <c r="N44" s="152"/>
      <c r="O44" s="183" t="str">
        <f>IF($T$32="","V. "&amp;$D$32,IF($T$32=0,$H$32,$L$32))</f>
        <v>VfK 1901 Berlin</v>
      </c>
      <c r="P44" s="169"/>
      <c r="Q44" s="152">
        <v>38</v>
      </c>
      <c r="R44" s="157" t="s">
        <v>27</v>
      </c>
      <c r="S44" s="171">
        <v>32</v>
      </c>
      <c r="T44" s="170">
        <f>IF(Q44="","",IF(Q44&gt;S44,2,IF(Q44&lt;S44,0,1)))</f>
        <v>2</v>
      </c>
      <c r="U44" s="157" t="s">
        <v>27</v>
      </c>
      <c r="V44" s="171">
        <f>IF(S44="","",IF(S44&gt;Q44,2,IF(S44&lt;Q44,0,1)))</f>
        <v>0</v>
      </c>
      <c r="W44" s="152"/>
      <c r="X44" s="157" t="s">
        <v>53</v>
      </c>
      <c r="Y44" s="157" t="s">
        <v>53</v>
      </c>
      <c r="AA44" s="145" t="s">
        <v>97</v>
      </c>
      <c r="AB44" s="145">
        <v>6</v>
      </c>
      <c r="AC44" s="145" t="s">
        <v>72</v>
      </c>
    </row>
    <row r="45" spans="2:29" ht="12.75">
      <c r="B45" s="159"/>
      <c r="C45" s="159"/>
      <c r="D45" s="159">
        <f>+D44+1</f>
        <v>168</v>
      </c>
      <c r="E45" s="159">
        <v>4</v>
      </c>
      <c r="F45" s="160" t="s">
        <v>19</v>
      </c>
      <c r="G45" s="159">
        <v>11</v>
      </c>
      <c r="H45" s="161" t="str">
        <f ca="1">IF($B$2="","1. Gruppe D",INDIRECT(ADDRESS(MATCH(G45,$A$1:$A$19,0),MATCH(F45,$A$3:$AE$3,0))))</f>
        <v>SV Weiler</v>
      </c>
      <c r="I45" s="162" t="s">
        <v>28</v>
      </c>
      <c r="J45" s="160" t="s">
        <v>19</v>
      </c>
      <c r="K45" s="159"/>
      <c r="L45" s="161" t="str">
        <f>IF($T$32="","S. "&amp;$D$32,IF(T32=2,H32,L32))</f>
        <v>TV Kleefeld</v>
      </c>
      <c r="M45" s="160" t="s">
        <v>19</v>
      </c>
      <c r="N45" s="159"/>
      <c r="O45" s="173" t="str">
        <f>IF($T$33="","V. "&amp;$D$33,IF($T$33=0,$H$33,$L$33))</f>
        <v>TV Kierdorf</v>
      </c>
      <c r="P45" s="163"/>
      <c r="Q45" s="159">
        <v>35</v>
      </c>
      <c r="R45" s="162" t="s">
        <v>27</v>
      </c>
      <c r="S45" s="165">
        <v>38</v>
      </c>
      <c r="T45" s="164">
        <f>IF(Q45="","",IF(Q45&gt;S45,2,IF(Q45&lt;S45,0,1)))</f>
        <v>0</v>
      </c>
      <c r="U45" s="162" t="s">
        <v>27</v>
      </c>
      <c r="V45" s="165">
        <f>IF(S45="","",IF(S45&gt;Q45,2,IF(S45&lt;Q45,0,1)))</f>
        <v>2</v>
      </c>
      <c r="W45" s="152"/>
      <c r="X45" s="162" t="s">
        <v>53</v>
      </c>
      <c r="Y45" s="162" t="s">
        <v>53</v>
      </c>
      <c r="AA45" s="145" t="s">
        <v>97</v>
      </c>
      <c r="AB45" s="145">
        <v>6</v>
      </c>
      <c r="AC45" s="145" t="s">
        <v>72</v>
      </c>
    </row>
    <row r="46" spans="2:29" ht="12.75">
      <c r="B46" s="152">
        <f>+B42+1</f>
        <v>7</v>
      </c>
      <c r="C46" s="168">
        <f>+Daten!P10</f>
        <v>0.47916666666666663</v>
      </c>
      <c r="D46" s="152">
        <f t="shared" si="2"/>
        <v>169</v>
      </c>
      <c r="E46" s="152">
        <v>1</v>
      </c>
      <c r="F46" s="151" t="s">
        <v>69</v>
      </c>
      <c r="G46" s="152"/>
      <c r="H46" s="153" t="str">
        <f>IF(T22="","Platz 5 / V. "&amp;D22,IF(T22=0,H22,L22))</f>
        <v>TSV Burgdorf</v>
      </c>
      <c r="I46" s="157" t="s">
        <v>28</v>
      </c>
      <c r="J46" s="151" t="s">
        <v>69</v>
      </c>
      <c r="K46" s="152"/>
      <c r="L46" s="153" t="str">
        <f>IF(T23="","V. "&amp;D23,IF(T23=0,H23,L23))</f>
        <v>TV Cramberg</v>
      </c>
      <c r="M46" s="151" t="s">
        <v>69</v>
      </c>
      <c r="N46" s="152"/>
      <c r="O46" s="183" t="str">
        <f>IF(T34="","V. "&amp;D34,IF(T34=0,H34,L34))</f>
        <v>TV Bremen 1875</v>
      </c>
      <c r="P46" s="169"/>
      <c r="Q46" s="152">
        <v>33</v>
      </c>
      <c r="R46" s="157" t="s">
        <v>27</v>
      </c>
      <c r="S46" s="171">
        <v>36</v>
      </c>
      <c r="T46" s="170">
        <f t="shared" si="0"/>
        <v>0</v>
      </c>
      <c r="U46" s="157" t="s">
        <v>27</v>
      </c>
      <c r="V46" s="171">
        <f t="shared" si="1"/>
        <v>2</v>
      </c>
      <c r="W46" s="166"/>
      <c r="X46" s="157" t="s">
        <v>53</v>
      </c>
      <c r="Y46" s="157" t="s">
        <v>53</v>
      </c>
      <c r="AA46" s="145" t="s">
        <v>98</v>
      </c>
      <c r="AB46" s="145">
        <v>1</v>
      </c>
      <c r="AC46" s="145" t="s">
        <v>71</v>
      </c>
    </row>
    <row r="47" spans="2:29" ht="12.75">
      <c r="B47" s="152"/>
      <c r="C47" s="152"/>
      <c r="D47" s="152">
        <f t="shared" si="2"/>
        <v>170</v>
      </c>
      <c r="E47" s="152">
        <v>2</v>
      </c>
      <c r="F47" s="151" t="s">
        <v>23</v>
      </c>
      <c r="G47" s="152"/>
      <c r="H47" s="153" t="str">
        <f>IF(T24="","Platz 5 / V. "&amp;D24,IF(T24=0,H24,L24))</f>
        <v>VT Contwig</v>
      </c>
      <c r="I47" s="157" t="s">
        <v>28</v>
      </c>
      <c r="J47" s="151" t="s">
        <v>23</v>
      </c>
      <c r="K47" s="152"/>
      <c r="L47" s="153" t="str">
        <f>IF(T25="","V. "&amp;D25,IF(T25=0,H25,L25))</f>
        <v>TSV Krumbach</v>
      </c>
      <c r="M47" s="151" t="s">
        <v>23</v>
      </c>
      <c r="N47" s="152"/>
      <c r="O47" s="183" t="str">
        <f>IF(T36="","V. "&amp;D36,IF(T36=0,H36,L36))</f>
        <v>TV Viersen</v>
      </c>
      <c r="P47" s="169"/>
      <c r="Q47" s="152">
        <v>31</v>
      </c>
      <c r="R47" s="157" t="s">
        <v>27</v>
      </c>
      <c r="S47" s="171">
        <v>36</v>
      </c>
      <c r="T47" s="170">
        <f aca="true" t="shared" si="3" ref="T47:T67">IF(Q47="","",IF(Q47&gt;S47,2,IF(Q47&lt;S47,0,1)))</f>
        <v>0</v>
      </c>
      <c r="U47" s="157" t="s">
        <v>27</v>
      </c>
      <c r="V47" s="171">
        <f aca="true" t="shared" si="4" ref="V47:V67">IF(S47="","",IF(S47&gt;Q47,2,IF(S47&lt;Q47,0,1)))</f>
        <v>2</v>
      </c>
      <c r="W47" s="166"/>
      <c r="X47" s="157" t="s">
        <v>53</v>
      </c>
      <c r="Y47" s="157" t="s">
        <v>53</v>
      </c>
      <c r="AA47" s="145" t="s">
        <v>98</v>
      </c>
      <c r="AB47" s="145">
        <v>1</v>
      </c>
      <c r="AC47" s="145" t="s">
        <v>71</v>
      </c>
    </row>
    <row r="48" spans="2:29" ht="12.75">
      <c r="B48" s="152"/>
      <c r="C48" s="152"/>
      <c r="D48" s="152">
        <f t="shared" si="2"/>
        <v>171</v>
      </c>
      <c r="E48" s="152">
        <v>3</v>
      </c>
      <c r="F48" s="151" t="s">
        <v>22</v>
      </c>
      <c r="G48" s="152"/>
      <c r="H48" s="153" t="str">
        <f>IF(T26="","Platz 5 / V. "&amp;D26,IF(T26=0,H26,L26))</f>
        <v>VSK Osterholz Scharmbeck</v>
      </c>
      <c r="I48" s="157" t="s">
        <v>28</v>
      </c>
      <c r="J48" s="151" t="s">
        <v>22</v>
      </c>
      <c r="K48" s="152"/>
      <c r="L48" s="153" t="str">
        <f>IF(T27="","V. "&amp;D27,IF(T27=0,H27,L27))</f>
        <v>MTV Itzehoe</v>
      </c>
      <c r="M48" s="151" t="s">
        <v>22</v>
      </c>
      <c r="N48" s="152"/>
      <c r="O48" s="183" t="str">
        <f>IF(T38="","V. "&amp;D38,IF(T38=0,H38,L38))</f>
        <v>TV Wertheim</v>
      </c>
      <c r="P48" s="169"/>
      <c r="Q48" s="152">
        <v>35</v>
      </c>
      <c r="R48" s="157" t="s">
        <v>27</v>
      </c>
      <c r="S48" s="171">
        <v>46</v>
      </c>
      <c r="T48" s="170">
        <f t="shared" si="3"/>
        <v>0</v>
      </c>
      <c r="U48" s="157" t="s">
        <v>27</v>
      </c>
      <c r="V48" s="171">
        <f t="shared" si="4"/>
        <v>2</v>
      </c>
      <c r="W48" s="166"/>
      <c r="X48" s="157" t="s">
        <v>53</v>
      </c>
      <c r="Y48" s="157" t="s">
        <v>53</v>
      </c>
      <c r="AA48" s="145" t="s">
        <v>98</v>
      </c>
      <c r="AB48" s="145">
        <v>2</v>
      </c>
      <c r="AC48" s="145" t="s">
        <v>71</v>
      </c>
    </row>
    <row r="49" spans="2:29" ht="12.75">
      <c r="B49" s="159"/>
      <c r="C49" s="159"/>
      <c r="D49" s="159">
        <f>+D48+1</f>
        <v>172</v>
      </c>
      <c r="E49" s="159">
        <v>4</v>
      </c>
      <c r="F49" s="160" t="s">
        <v>21</v>
      </c>
      <c r="G49" s="159"/>
      <c r="H49" s="161" t="str">
        <f>IF(T28="","Platz 5 / V. "&amp;D28,IF(T28=0,H28,L28))</f>
        <v>TV Grohn</v>
      </c>
      <c r="I49" s="162" t="s">
        <v>28</v>
      </c>
      <c r="J49" s="160" t="s">
        <v>21</v>
      </c>
      <c r="K49" s="159"/>
      <c r="L49" s="161" t="str">
        <f>IF(T29="","V. "&amp;D29,IF(T29=0,H29,L29))</f>
        <v>TSV Burgdorf</v>
      </c>
      <c r="M49" s="160" t="s">
        <v>21</v>
      </c>
      <c r="N49" s="159"/>
      <c r="O49" s="173" t="str">
        <f>IF(T40="","V. "&amp;D40,IF(T40=0,H40,L40))</f>
        <v>TV Berkenbaum</v>
      </c>
      <c r="P49" s="163"/>
      <c r="Q49" s="159">
        <v>37</v>
      </c>
      <c r="R49" s="162" t="s">
        <v>27</v>
      </c>
      <c r="S49" s="165">
        <v>39</v>
      </c>
      <c r="T49" s="164">
        <f t="shared" si="3"/>
        <v>0</v>
      </c>
      <c r="U49" s="162" t="s">
        <v>27</v>
      </c>
      <c r="V49" s="165">
        <f t="shared" si="4"/>
        <v>2</v>
      </c>
      <c r="W49" s="166"/>
      <c r="X49" s="162" t="s">
        <v>53</v>
      </c>
      <c r="Y49" s="162" t="s">
        <v>53</v>
      </c>
      <c r="AA49" s="145" t="s">
        <v>98</v>
      </c>
      <c r="AB49" s="145">
        <v>2</v>
      </c>
      <c r="AC49" s="145" t="s">
        <v>71</v>
      </c>
    </row>
    <row r="50" spans="2:29" ht="12.75">
      <c r="B50" s="152">
        <f>+B46+1</f>
        <v>8</v>
      </c>
      <c r="C50" s="150">
        <f>+Daten!P11</f>
        <v>0.49652777777777773</v>
      </c>
      <c r="D50" s="152">
        <f t="shared" si="2"/>
        <v>173</v>
      </c>
      <c r="E50" s="152">
        <v>1</v>
      </c>
      <c r="F50" s="151" t="s">
        <v>20</v>
      </c>
      <c r="G50" s="152"/>
      <c r="H50" s="153" t="str">
        <f>IF(T30="","Platz 5 / V. "&amp;D30,IF(T30=0,H30,L30))</f>
        <v>SKG Ober Ramstadt</v>
      </c>
      <c r="I50" s="157" t="s">
        <v>28</v>
      </c>
      <c r="J50" s="151" t="s">
        <v>20</v>
      </c>
      <c r="K50" s="152"/>
      <c r="L50" s="153" t="str">
        <f>IF(T31="","V. "&amp;D31,IF(T31=0,H31,L31))</f>
        <v>TV Baden</v>
      </c>
      <c r="M50" s="151" t="s">
        <v>20</v>
      </c>
      <c r="N50" s="152"/>
      <c r="O50" s="183" t="str">
        <f>IF(T42="","V. "&amp;D42,IF(T42=0,H42,L42))</f>
        <v>TV Edingen</v>
      </c>
      <c r="P50" s="169"/>
      <c r="Q50" s="152">
        <v>38</v>
      </c>
      <c r="R50" s="157" t="s">
        <v>27</v>
      </c>
      <c r="S50" s="171">
        <v>39</v>
      </c>
      <c r="T50" s="170">
        <f t="shared" si="3"/>
        <v>0</v>
      </c>
      <c r="U50" s="157" t="s">
        <v>27</v>
      </c>
      <c r="V50" s="171">
        <f t="shared" si="4"/>
        <v>2</v>
      </c>
      <c r="W50" s="152"/>
      <c r="X50" s="157" t="s">
        <v>53</v>
      </c>
      <c r="Y50" s="157" t="s">
        <v>53</v>
      </c>
      <c r="AA50" s="145" t="s">
        <v>98</v>
      </c>
      <c r="AB50" s="145">
        <v>3</v>
      </c>
      <c r="AC50" s="145" t="s">
        <v>71</v>
      </c>
    </row>
    <row r="51" spans="2:29" ht="12.75">
      <c r="B51" s="152"/>
      <c r="C51" s="152"/>
      <c r="D51" s="152">
        <f>+D50+1</f>
        <v>174</v>
      </c>
      <c r="E51" s="152">
        <v>2</v>
      </c>
      <c r="F51" s="151" t="s">
        <v>19</v>
      </c>
      <c r="G51" s="152"/>
      <c r="H51" s="153" t="str">
        <f>IF(T32="","Platz 5 / V. "&amp;D32,IF(T32=0,H32,L32))</f>
        <v>VfK 1901 Berlin</v>
      </c>
      <c r="I51" s="157" t="s">
        <v>28</v>
      </c>
      <c r="J51" s="151" t="s">
        <v>19</v>
      </c>
      <c r="K51" s="152"/>
      <c r="L51" s="153" t="str">
        <f>IF(T33="","V. "&amp;D33,IF(T33=0,H33,L33))</f>
        <v>TV Kierdorf</v>
      </c>
      <c r="M51" s="151" t="s">
        <v>19</v>
      </c>
      <c r="N51" s="152"/>
      <c r="O51" s="183" t="str">
        <f>IF(T44="","V. "&amp;D44,IF(T44=0,H44,L44))</f>
        <v>SV Prag Stuttgart</v>
      </c>
      <c r="P51" s="169"/>
      <c r="Q51" s="152">
        <v>28</v>
      </c>
      <c r="R51" s="157" t="s">
        <v>27</v>
      </c>
      <c r="S51" s="171">
        <v>33</v>
      </c>
      <c r="T51" s="170">
        <f t="shared" si="3"/>
        <v>0</v>
      </c>
      <c r="U51" s="157" t="s">
        <v>27</v>
      </c>
      <c r="V51" s="171">
        <f t="shared" si="4"/>
        <v>2</v>
      </c>
      <c r="W51" s="152"/>
      <c r="X51" s="157" t="s">
        <v>53</v>
      </c>
      <c r="Y51" s="157" t="s">
        <v>53</v>
      </c>
      <c r="AA51" s="145" t="s">
        <v>98</v>
      </c>
      <c r="AB51" s="145">
        <v>3</v>
      </c>
      <c r="AC51" s="145" t="s">
        <v>71</v>
      </c>
    </row>
    <row r="52" spans="2:29" ht="12.75">
      <c r="B52" s="152"/>
      <c r="C52" s="168"/>
      <c r="D52" s="152">
        <f t="shared" si="2"/>
        <v>175</v>
      </c>
      <c r="E52" s="152">
        <v>3</v>
      </c>
      <c r="F52" s="151" t="s">
        <v>69</v>
      </c>
      <c r="G52" s="152"/>
      <c r="H52" s="153" t="str">
        <f>IF(T34="","Platz 3 / V. "&amp;D34,IF(T34=0,H34,L34))</f>
        <v>TV Bremen 1875</v>
      </c>
      <c r="I52" s="157" t="s">
        <v>28</v>
      </c>
      <c r="J52" s="151" t="s">
        <v>69</v>
      </c>
      <c r="K52" s="152"/>
      <c r="L52" s="153" t="str">
        <f>IF(T35="","V. "&amp;D35,IF(T35=0,H35,L35))</f>
        <v>SV Werder Bremen</v>
      </c>
      <c r="M52" s="151" t="s">
        <v>69</v>
      </c>
      <c r="N52" s="152"/>
      <c r="O52" s="183" t="str">
        <f>IF(T35="","S. "&amp;D35,IF(T35=2,H35,L35))</f>
        <v>TSV Bayer Leverkusen</v>
      </c>
      <c r="P52" s="169"/>
      <c r="Q52" s="152">
        <v>39</v>
      </c>
      <c r="R52" s="157" t="s">
        <v>27</v>
      </c>
      <c r="S52" s="171">
        <v>36</v>
      </c>
      <c r="T52" s="170">
        <f t="shared" si="3"/>
        <v>2</v>
      </c>
      <c r="U52" s="157" t="s">
        <v>27</v>
      </c>
      <c r="V52" s="171">
        <f t="shared" si="4"/>
        <v>0</v>
      </c>
      <c r="W52" s="166"/>
      <c r="X52" s="157" t="s">
        <v>53</v>
      </c>
      <c r="Y52" s="157" t="s">
        <v>53</v>
      </c>
      <c r="AA52" s="145" t="s">
        <v>99</v>
      </c>
      <c r="AB52" s="145">
        <v>1</v>
      </c>
      <c r="AC52" s="145" t="s">
        <v>70</v>
      </c>
    </row>
    <row r="53" spans="2:29" ht="12.75">
      <c r="B53" s="159"/>
      <c r="C53" s="159"/>
      <c r="D53" s="159">
        <f t="shared" si="2"/>
        <v>176</v>
      </c>
      <c r="E53" s="159">
        <v>4</v>
      </c>
      <c r="F53" s="160" t="s">
        <v>23</v>
      </c>
      <c r="G53" s="159"/>
      <c r="H53" s="161" t="str">
        <f>IF(T36="","Platz 3 / V. "&amp;D36,IF(T36=0,H36,L36))</f>
        <v>TV Viersen</v>
      </c>
      <c r="I53" s="162" t="s">
        <v>28</v>
      </c>
      <c r="J53" s="160" t="s">
        <v>23</v>
      </c>
      <c r="K53" s="159"/>
      <c r="L53" s="161" t="str">
        <f>IF(T37="","V. "&amp;D37,IF(T37=0,H37,L37))</f>
        <v>SV Werder Bremen</v>
      </c>
      <c r="M53" s="160" t="s">
        <v>23</v>
      </c>
      <c r="N53" s="159"/>
      <c r="O53" s="173" t="str">
        <f>IF(T37="","S. "&amp;D37,IF(T37=2,H37,L37))</f>
        <v>SF Ricklingen</v>
      </c>
      <c r="P53" s="163"/>
      <c r="Q53" s="159">
        <v>40</v>
      </c>
      <c r="R53" s="162" t="s">
        <v>27</v>
      </c>
      <c r="S53" s="165">
        <v>38</v>
      </c>
      <c r="T53" s="164">
        <f t="shared" si="3"/>
        <v>2</v>
      </c>
      <c r="U53" s="162" t="s">
        <v>27</v>
      </c>
      <c r="V53" s="165">
        <f t="shared" si="4"/>
        <v>0</v>
      </c>
      <c r="W53" s="166"/>
      <c r="X53" s="162" t="s">
        <v>53</v>
      </c>
      <c r="Y53" s="162" t="s">
        <v>53</v>
      </c>
      <c r="AA53" s="145" t="s">
        <v>99</v>
      </c>
      <c r="AB53" s="145">
        <v>1</v>
      </c>
      <c r="AC53" s="145" t="s">
        <v>70</v>
      </c>
    </row>
    <row r="54" spans="2:29" ht="12.75">
      <c r="B54" s="152">
        <f>+B50+1</f>
        <v>9</v>
      </c>
      <c r="C54" s="150">
        <f>+Daten!P12</f>
        <v>0.5138888888888888</v>
      </c>
      <c r="D54" s="152">
        <f t="shared" si="2"/>
        <v>177</v>
      </c>
      <c r="E54" s="152">
        <v>1</v>
      </c>
      <c r="F54" s="151" t="s">
        <v>22</v>
      </c>
      <c r="G54" s="152"/>
      <c r="H54" s="153" t="str">
        <f>IF(T38="","Platz 3 / V. "&amp;D38,IF(T38=0,H38,L38))</f>
        <v>TV Wertheim</v>
      </c>
      <c r="I54" s="157" t="s">
        <v>28</v>
      </c>
      <c r="J54" s="151" t="s">
        <v>22</v>
      </c>
      <c r="K54" s="152"/>
      <c r="L54" s="153" t="str">
        <f>IF(T39="","V. "&amp;D39,IF(T39=0,H39,L39))</f>
        <v>TSV Ludwigshafen</v>
      </c>
      <c r="M54" s="151" t="s">
        <v>22</v>
      </c>
      <c r="N54" s="152"/>
      <c r="O54" s="183" t="str">
        <f>IF(T39="","S. "&amp;D39,IF(T39=2,H39,L39))</f>
        <v>TG Giengen</v>
      </c>
      <c r="P54" s="169"/>
      <c r="Q54" s="152">
        <v>39</v>
      </c>
      <c r="R54" s="157" t="s">
        <v>27</v>
      </c>
      <c r="S54" s="171">
        <v>29</v>
      </c>
      <c r="T54" s="170">
        <f t="shared" si="3"/>
        <v>2</v>
      </c>
      <c r="U54" s="157" t="s">
        <v>27</v>
      </c>
      <c r="V54" s="171">
        <f t="shared" si="4"/>
        <v>0</v>
      </c>
      <c r="W54" s="153"/>
      <c r="X54" s="157" t="s">
        <v>53</v>
      </c>
      <c r="Y54" s="157" t="s">
        <v>53</v>
      </c>
      <c r="AA54" s="145" t="s">
        <v>99</v>
      </c>
      <c r="AB54" s="145">
        <v>2</v>
      </c>
      <c r="AC54" s="145" t="s">
        <v>70</v>
      </c>
    </row>
    <row r="55" spans="2:29" ht="12.75">
      <c r="B55" s="152"/>
      <c r="C55" s="152"/>
      <c r="D55" s="152">
        <f t="shared" si="2"/>
        <v>178</v>
      </c>
      <c r="E55" s="152">
        <v>2</v>
      </c>
      <c r="F55" s="193" t="s">
        <v>21</v>
      </c>
      <c r="G55" s="152"/>
      <c r="H55" s="153" t="str">
        <f>IF(T40="","Platz 3 / V. "&amp;D40,IF(T40=0,H40,L40))</f>
        <v>TV Berkenbaum</v>
      </c>
      <c r="I55" s="157" t="s">
        <v>28</v>
      </c>
      <c r="J55" s="193" t="s">
        <v>21</v>
      </c>
      <c r="K55" s="152"/>
      <c r="L55" s="153" t="str">
        <f>IF(T41="","V. "&amp;D41,IF(T41=0,H41,L41))</f>
        <v>TV Wertheim</v>
      </c>
      <c r="M55" s="193" t="s">
        <v>79</v>
      </c>
      <c r="N55" s="152"/>
      <c r="O55" s="183" t="str">
        <f>IF(T41="","S. "&amp;D41,IF(T41=2,H41,L41))</f>
        <v>SF Ricklingen</v>
      </c>
      <c r="P55" s="169"/>
      <c r="Q55" s="152">
        <v>32</v>
      </c>
      <c r="R55" s="157" t="s">
        <v>27</v>
      </c>
      <c r="S55" s="171">
        <v>38</v>
      </c>
      <c r="T55" s="170">
        <f t="shared" si="3"/>
        <v>0</v>
      </c>
      <c r="U55" s="157" t="s">
        <v>27</v>
      </c>
      <c r="V55" s="171">
        <f t="shared" si="4"/>
        <v>2</v>
      </c>
      <c r="W55" s="166"/>
      <c r="X55" s="157" t="s">
        <v>53</v>
      </c>
      <c r="Y55" s="157" t="s">
        <v>53</v>
      </c>
      <c r="AA55" s="145" t="s">
        <v>99</v>
      </c>
      <c r="AB55" s="145">
        <v>2</v>
      </c>
      <c r="AC55" s="145" t="s">
        <v>70</v>
      </c>
    </row>
    <row r="56" spans="2:29" ht="12.75">
      <c r="B56" s="152"/>
      <c r="C56" s="152"/>
      <c r="D56" s="152">
        <f t="shared" si="2"/>
        <v>179</v>
      </c>
      <c r="E56" s="152">
        <v>3</v>
      </c>
      <c r="F56" s="151" t="s">
        <v>20</v>
      </c>
      <c r="G56" s="152"/>
      <c r="H56" s="153" t="str">
        <f>IF(T42="","Platz 3 / V. "&amp;D42,IF(T42=0,H42,L42))</f>
        <v>TV Edingen</v>
      </c>
      <c r="I56" s="157" t="s">
        <v>28</v>
      </c>
      <c r="J56" s="151" t="s">
        <v>20</v>
      </c>
      <c r="K56" s="152"/>
      <c r="L56" s="153" t="str">
        <f>IF(T43="","V. "&amp;D43,IF(T43=0,H43,L43))</f>
        <v>MTV Eiche Schönebeck</v>
      </c>
      <c r="M56" s="151" t="s">
        <v>20</v>
      </c>
      <c r="N56" s="152"/>
      <c r="O56" s="183" t="str">
        <f>IF(T43="","S. "&amp;D43,IF(T43=2,H43,L43))</f>
        <v>VfL Hannover</v>
      </c>
      <c r="P56" s="169"/>
      <c r="Q56" s="152">
        <v>31</v>
      </c>
      <c r="R56" s="157" t="s">
        <v>27</v>
      </c>
      <c r="S56" s="171">
        <v>44</v>
      </c>
      <c r="T56" s="170">
        <f aca="true" t="shared" si="5" ref="T56:T61">IF(Q56="","",IF(Q56&gt;S56,2,IF(Q56&lt;S56,0,1)))</f>
        <v>0</v>
      </c>
      <c r="U56" s="157" t="s">
        <v>27</v>
      </c>
      <c r="V56" s="171">
        <f aca="true" t="shared" si="6" ref="V56:V61">IF(S56="","",IF(S56&gt;Q56,2,IF(S56&lt;Q56,0,1)))</f>
        <v>2</v>
      </c>
      <c r="W56" s="152"/>
      <c r="X56" s="157" t="s">
        <v>53</v>
      </c>
      <c r="Y56" s="157" t="s">
        <v>53</v>
      </c>
      <c r="AA56" s="145" t="s">
        <v>99</v>
      </c>
      <c r="AB56" s="145">
        <v>3</v>
      </c>
      <c r="AC56" s="145" t="s">
        <v>70</v>
      </c>
    </row>
    <row r="57" spans="2:29" ht="12.75">
      <c r="B57" s="159"/>
      <c r="C57" s="159"/>
      <c r="D57" s="159">
        <f>+D56+1</f>
        <v>180</v>
      </c>
      <c r="E57" s="159">
        <v>4</v>
      </c>
      <c r="F57" s="160" t="s">
        <v>19</v>
      </c>
      <c r="G57" s="159"/>
      <c r="H57" s="161" t="str">
        <f>IF(T44="","Platz 3 / V. "&amp;D44,IF(T44=0,H44,L44))</f>
        <v>SV Prag Stuttgart</v>
      </c>
      <c r="I57" s="162" t="s">
        <v>28</v>
      </c>
      <c r="J57" s="160" t="s">
        <v>19</v>
      </c>
      <c r="K57" s="159"/>
      <c r="L57" s="161" t="str">
        <f>IF(T45="","V. "&amp;D45,IF(T45=0,H45,L45))</f>
        <v>SV Weiler</v>
      </c>
      <c r="M57" s="160" t="s">
        <v>19</v>
      </c>
      <c r="N57" s="159"/>
      <c r="O57" s="173" t="str">
        <f>IF(T45="","S. "&amp;D45,IF(T45=2,H45,L45))</f>
        <v>TV Kleefeld</v>
      </c>
      <c r="P57" s="163"/>
      <c r="Q57" s="159">
        <v>37</v>
      </c>
      <c r="R57" s="162" t="s">
        <v>27</v>
      </c>
      <c r="S57" s="165">
        <v>34</v>
      </c>
      <c r="T57" s="164">
        <f t="shared" si="5"/>
        <v>2</v>
      </c>
      <c r="U57" s="162" t="s">
        <v>27</v>
      </c>
      <c r="V57" s="165">
        <f t="shared" si="6"/>
        <v>0</v>
      </c>
      <c r="W57" s="152"/>
      <c r="X57" s="162" t="s">
        <v>53</v>
      </c>
      <c r="Y57" s="162" t="s">
        <v>53</v>
      </c>
      <c r="AA57" s="145" t="s">
        <v>99</v>
      </c>
      <c r="AB57" s="145">
        <v>3</v>
      </c>
      <c r="AC57" s="145" t="s">
        <v>70</v>
      </c>
    </row>
    <row r="58" spans="2:25" ht="12.75">
      <c r="B58" s="152">
        <f>+B54+1</f>
        <v>10</v>
      </c>
      <c r="C58" s="168">
        <f>+Daten!P13</f>
        <v>0.53125</v>
      </c>
      <c r="D58" s="152">
        <f>+D57+1</f>
        <v>181</v>
      </c>
      <c r="E58" s="152">
        <v>1</v>
      </c>
      <c r="F58" s="151"/>
      <c r="G58" s="152"/>
      <c r="H58" s="153"/>
      <c r="I58" s="157" t="s">
        <v>28</v>
      </c>
      <c r="J58" s="151"/>
      <c r="K58" s="152"/>
      <c r="L58" s="153"/>
      <c r="M58" s="151"/>
      <c r="N58" s="152"/>
      <c r="O58" s="183"/>
      <c r="P58" s="169"/>
      <c r="Q58" s="152"/>
      <c r="R58" s="157" t="s">
        <v>27</v>
      </c>
      <c r="S58" s="171"/>
      <c r="T58" s="170">
        <f t="shared" si="5"/>
      </c>
      <c r="U58" s="157" t="s">
        <v>27</v>
      </c>
      <c r="V58" s="171">
        <f t="shared" si="6"/>
      </c>
      <c r="W58" s="166"/>
      <c r="X58" s="157" t="s">
        <v>53</v>
      </c>
      <c r="Y58" s="157" t="s">
        <v>53</v>
      </c>
    </row>
    <row r="59" spans="2:29" ht="12.75">
      <c r="B59" s="152"/>
      <c r="C59" s="152"/>
      <c r="D59" s="152">
        <f t="shared" si="2"/>
        <v>182</v>
      </c>
      <c r="E59" s="152">
        <v>2</v>
      </c>
      <c r="F59" s="151" t="s">
        <v>69</v>
      </c>
      <c r="G59" s="152"/>
      <c r="H59" s="153" t="str">
        <f>IF(T34="","Endspiel M60 / S. "&amp;D34,IF(T34=2,H34,L34))</f>
        <v>Eiserfelder TV</v>
      </c>
      <c r="I59" s="157" t="s">
        <v>28</v>
      </c>
      <c r="J59" s="151" t="s">
        <v>69</v>
      </c>
      <c r="K59" s="152"/>
      <c r="L59" s="153" t="str">
        <f>IF(T35="","S. "&amp;D35,IF(T35=2,H35,L35))</f>
        <v>TSV Bayer Leverkusen</v>
      </c>
      <c r="M59" s="151" t="s">
        <v>69</v>
      </c>
      <c r="N59" s="152"/>
      <c r="O59" s="183" t="str">
        <f>IF(T52="","S. "&amp;D52,IF(T52=2,H52,L52))</f>
        <v>TV Bremen 1875</v>
      </c>
      <c r="P59" s="169"/>
      <c r="Q59" s="152">
        <v>37</v>
      </c>
      <c r="R59" s="157" t="s">
        <v>27</v>
      </c>
      <c r="S59" s="171">
        <v>35</v>
      </c>
      <c r="T59" s="170">
        <f t="shared" si="5"/>
        <v>2</v>
      </c>
      <c r="U59" s="157" t="s">
        <v>27</v>
      </c>
      <c r="V59" s="171">
        <f t="shared" si="6"/>
        <v>0</v>
      </c>
      <c r="W59" s="166"/>
      <c r="X59" s="157" t="s">
        <v>53</v>
      </c>
      <c r="Y59" s="157" t="s">
        <v>53</v>
      </c>
      <c r="AA59" s="145" t="s">
        <v>100</v>
      </c>
      <c r="AB59" s="145">
        <v>1</v>
      </c>
      <c r="AC59" s="145" t="s">
        <v>39</v>
      </c>
    </row>
    <row r="60" spans="2:29" ht="12.75">
      <c r="B60" s="152"/>
      <c r="C60" s="152"/>
      <c r="D60" s="152">
        <f t="shared" si="2"/>
        <v>183</v>
      </c>
      <c r="E60" s="152">
        <v>3</v>
      </c>
      <c r="F60" s="151" t="s">
        <v>23</v>
      </c>
      <c r="G60" s="152"/>
      <c r="H60" s="153" t="str">
        <f>IF(T36="","Endspiel M50 / S. "&amp;D36,IF(T36=2,H36,L36))</f>
        <v>TuS Ferndorf</v>
      </c>
      <c r="I60" s="157" t="s">
        <v>28</v>
      </c>
      <c r="J60" s="151" t="s">
        <v>23</v>
      </c>
      <c r="K60" s="152"/>
      <c r="L60" s="153" t="str">
        <f>IF(T37="","S. "&amp;D37,IF(T37=2,H37,L37))</f>
        <v>SF Ricklingen</v>
      </c>
      <c r="M60" s="151" t="s">
        <v>23</v>
      </c>
      <c r="N60" s="152"/>
      <c r="O60" s="183" t="str">
        <f>IF(T53="","S. "&amp;D53,IF(T53=2,H53,L53))</f>
        <v>TV Viersen</v>
      </c>
      <c r="P60" s="169"/>
      <c r="Q60" s="152">
        <v>34</v>
      </c>
      <c r="R60" s="157" t="s">
        <v>27</v>
      </c>
      <c r="S60" s="171">
        <v>35</v>
      </c>
      <c r="T60" s="170">
        <f t="shared" si="5"/>
        <v>0</v>
      </c>
      <c r="U60" s="157" t="s">
        <v>27</v>
      </c>
      <c r="V60" s="171">
        <f t="shared" si="6"/>
        <v>2</v>
      </c>
      <c r="W60" s="166"/>
      <c r="X60" s="157" t="s">
        <v>53</v>
      </c>
      <c r="Y60" s="157" t="s">
        <v>53</v>
      </c>
      <c r="AA60" s="145" t="s">
        <v>100</v>
      </c>
      <c r="AB60" s="145">
        <v>1</v>
      </c>
      <c r="AC60" s="145" t="s">
        <v>39</v>
      </c>
    </row>
    <row r="61" spans="2:29" ht="12.75">
      <c r="B61" s="159"/>
      <c r="C61" s="159"/>
      <c r="D61" s="159">
        <f t="shared" si="2"/>
        <v>184</v>
      </c>
      <c r="E61" s="159">
        <v>4</v>
      </c>
      <c r="F61" s="160"/>
      <c r="G61" s="159"/>
      <c r="H61" s="161"/>
      <c r="I61" s="162" t="s">
        <v>28</v>
      </c>
      <c r="J61" s="160"/>
      <c r="K61" s="159"/>
      <c r="L61" s="173"/>
      <c r="M61" s="160"/>
      <c r="N61" s="159"/>
      <c r="O61" s="173"/>
      <c r="P61" s="163"/>
      <c r="Q61" s="159"/>
      <c r="R61" s="162" t="s">
        <v>27</v>
      </c>
      <c r="S61" s="165"/>
      <c r="T61" s="164">
        <f t="shared" si="5"/>
      </c>
      <c r="U61" s="162" t="s">
        <v>27</v>
      </c>
      <c r="V61" s="165">
        <f t="shared" si="6"/>
      </c>
      <c r="W61" s="166"/>
      <c r="X61" s="162" t="s">
        <v>53</v>
      </c>
      <c r="Y61" s="162" t="s">
        <v>53</v>
      </c>
      <c r="AC61" s="145"/>
    </row>
    <row r="62" spans="2:29" ht="12.75">
      <c r="B62" s="152">
        <f>+B58+1</f>
        <v>11</v>
      </c>
      <c r="C62" s="150">
        <f>+Daten!P14</f>
        <v>0.5486111111111112</v>
      </c>
      <c r="D62" s="152">
        <f t="shared" si="2"/>
        <v>185</v>
      </c>
      <c r="E62" s="152">
        <v>1</v>
      </c>
      <c r="F62" s="151"/>
      <c r="G62" s="152"/>
      <c r="H62" s="153"/>
      <c r="I62" s="157" t="s">
        <v>28</v>
      </c>
      <c r="J62" s="151"/>
      <c r="K62" s="152"/>
      <c r="L62" s="183"/>
      <c r="M62" s="151"/>
      <c r="N62" s="152"/>
      <c r="O62" s="183"/>
      <c r="P62" s="169"/>
      <c r="Q62" s="152"/>
      <c r="R62" s="157" t="s">
        <v>27</v>
      </c>
      <c r="S62" s="171"/>
      <c r="T62" s="170">
        <f>IF(Q62="","",IF(Q62&gt;S62,2,IF(Q62&lt;S62,0,1)))</f>
      </c>
      <c r="U62" s="157" t="s">
        <v>27</v>
      </c>
      <c r="V62" s="171">
        <f>IF(S62="","",IF(S62&gt;Q62,2,IF(S62&lt;Q62,0,1)))</f>
      </c>
      <c r="W62" s="166"/>
      <c r="X62" s="157" t="s">
        <v>53</v>
      </c>
      <c r="Y62" s="157" t="s">
        <v>53</v>
      </c>
      <c r="AC62" s="145"/>
    </row>
    <row r="63" spans="2:29" ht="12.75">
      <c r="B63" s="152"/>
      <c r="C63" s="152"/>
      <c r="D63" s="152">
        <f>+D62+1</f>
        <v>186</v>
      </c>
      <c r="E63" s="152">
        <v>2</v>
      </c>
      <c r="F63" s="151" t="s">
        <v>22</v>
      </c>
      <c r="G63" s="152"/>
      <c r="H63" s="153" t="str">
        <f>IF(T38="","Endspiel F40 / S. "&amp;D38,IF(T38=2,H38,L38))</f>
        <v>Barmer TG</v>
      </c>
      <c r="I63" s="157" t="s">
        <v>28</v>
      </c>
      <c r="J63" s="151" t="s">
        <v>22</v>
      </c>
      <c r="K63" s="152"/>
      <c r="L63" s="153" t="str">
        <f>IF(T39="","S. "&amp;D39,IF(T39=2,H39,L39))</f>
        <v>TG Giengen</v>
      </c>
      <c r="M63" s="151" t="s">
        <v>22</v>
      </c>
      <c r="N63" s="152"/>
      <c r="O63" s="183" t="str">
        <f>IF(T54="","S. "&amp;D54,IF(T54=2,H54,L54))</f>
        <v>TV Wertheim</v>
      </c>
      <c r="P63" s="169"/>
      <c r="Q63" s="152">
        <v>58</v>
      </c>
      <c r="R63" s="157" t="s">
        <v>27</v>
      </c>
      <c r="S63" s="171">
        <v>56</v>
      </c>
      <c r="T63" s="170">
        <f>IF(Q63="","",IF(Q63&gt;S63,2,IF(Q63&lt;S63,0,1)))</f>
        <v>2</v>
      </c>
      <c r="U63" s="157" t="s">
        <v>27</v>
      </c>
      <c r="V63" s="171">
        <f>IF(S63="","",IF(S63&gt;Q63,2,IF(S63&lt;Q63,0,1)))</f>
        <v>0</v>
      </c>
      <c r="W63" s="166"/>
      <c r="X63" s="157" t="s">
        <v>53</v>
      </c>
      <c r="Y63" s="157" t="s">
        <v>53</v>
      </c>
      <c r="AA63" s="145" t="s">
        <v>100</v>
      </c>
      <c r="AB63" s="145">
        <v>2</v>
      </c>
      <c r="AC63" s="145" t="s">
        <v>39</v>
      </c>
    </row>
    <row r="64" spans="2:29" ht="12.75">
      <c r="B64" s="152"/>
      <c r="C64" s="168"/>
      <c r="D64" s="152">
        <f>+D63+1</f>
        <v>187</v>
      </c>
      <c r="E64" s="152">
        <v>3</v>
      </c>
      <c r="F64" s="151" t="s">
        <v>21</v>
      </c>
      <c r="G64" s="152"/>
      <c r="H64" s="153" t="str">
        <f>IF(T40="","Endspiel M40 / S. "&amp;D40,IF(T40=2,H40,L40))</f>
        <v>TV FA Altenbochum</v>
      </c>
      <c r="I64" s="157" t="s">
        <v>28</v>
      </c>
      <c r="J64" s="151" t="s">
        <v>21</v>
      </c>
      <c r="K64" s="152"/>
      <c r="L64" s="153" t="str">
        <f>IF(T41="","S. "&amp;D41,IF(T41=2,H41,L41))</f>
        <v>SF Ricklingen</v>
      </c>
      <c r="M64" s="151" t="s">
        <v>21</v>
      </c>
      <c r="N64" s="152"/>
      <c r="O64" s="183" t="str">
        <f>IF(T55="","S. "&amp;D55,IF(T55=2,H55,L55))</f>
        <v>TV Wertheim</v>
      </c>
      <c r="P64" s="169"/>
      <c r="Q64" s="152">
        <v>39</v>
      </c>
      <c r="R64" s="157" t="s">
        <v>27</v>
      </c>
      <c r="S64" s="171">
        <v>35</v>
      </c>
      <c r="T64" s="170">
        <f t="shared" si="3"/>
        <v>2</v>
      </c>
      <c r="U64" s="157" t="s">
        <v>27</v>
      </c>
      <c r="V64" s="171">
        <f t="shared" si="4"/>
        <v>0</v>
      </c>
      <c r="W64" s="166"/>
      <c r="X64" s="157" t="s">
        <v>53</v>
      </c>
      <c r="Y64" s="157" t="s">
        <v>53</v>
      </c>
      <c r="AA64" s="145" t="s">
        <v>100</v>
      </c>
      <c r="AB64" s="145">
        <v>2</v>
      </c>
      <c r="AC64" s="145" t="s">
        <v>39</v>
      </c>
    </row>
    <row r="65" spans="2:29" ht="12.75">
      <c r="B65" s="159"/>
      <c r="C65" s="159"/>
      <c r="D65" s="159">
        <f t="shared" si="2"/>
        <v>188</v>
      </c>
      <c r="E65" s="159">
        <v>4</v>
      </c>
      <c r="F65" s="160"/>
      <c r="G65" s="159"/>
      <c r="H65" s="161"/>
      <c r="I65" s="162" t="s">
        <v>28</v>
      </c>
      <c r="J65" s="160"/>
      <c r="K65" s="159"/>
      <c r="L65" s="173"/>
      <c r="M65" s="160"/>
      <c r="N65" s="159"/>
      <c r="O65" s="173"/>
      <c r="P65" s="163"/>
      <c r="Q65" s="159"/>
      <c r="R65" s="162" t="s">
        <v>27</v>
      </c>
      <c r="S65" s="165"/>
      <c r="T65" s="164">
        <f t="shared" si="3"/>
      </c>
      <c r="U65" s="162" t="s">
        <v>27</v>
      </c>
      <c r="V65" s="165">
        <f t="shared" si="4"/>
      </c>
      <c r="W65" s="166"/>
      <c r="X65" s="162" t="s">
        <v>53</v>
      </c>
      <c r="Y65" s="162" t="s">
        <v>53</v>
      </c>
      <c r="AC65" s="145"/>
    </row>
    <row r="66" spans="2:29" ht="12.75">
      <c r="B66" s="152">
        <f>+B62+1</f>
        <v>12</v>
      </c>
      <c r="C66" s="150">
        <f>+Daten!P15</f>
        <v>0.5659722222222223</v>
      </c>
      <c r="D66" s="152">
        <f t="shared" si="2"/>
        <v>189</v>
      </c>
      <c r="E66" s="152">
        <v>1</v>
      </c>
      <c r="F66" s="151"/>
      <c r="G66" s="152"/>
      <c r="H66" s="153"/>
      <c r="I66" s="157" t="s">
        <v>28</v>
      </c>
      <c r="J66" s="151"/>
      <c r="K66" s="152"/>
      <c r="L66" s="183"/>
      <c r="M66" s="151"/>
      <c r="N66" s="152"/>
      <c r="O66" s="183"/>
      <c r="P66" s="169"/>
      <c r="Q66" s="152"/>
      <c r="R66" s="157" t="s">
        <v>27</v>
      </c>
      <c r="S66" s="171"/>
      <c r="T66" s="170">
        <f t="shared" si="3"/>
      </c>
      <c r="U66" s="157" t="s">
        <v>27</v>
      </c>
      <c r="V66" s="171">
        <f t="shared" si="4"/>
      </c>
      <c r="W66" s="166"/>
      <c r="X66" s="157" t="s">
        <v>53</v>
      </c>
      <c r="Y66" s="157" t="s">
        <v>53</v>
      </c>
      <c r="AC66" s="145"/>
    </row>
    <row r="67" spans="2:29" ht="12.75">
      <c r="B67" s="152"/>
      <c r="C67" s="152"/>
      <c r="D67" s="152">
        <f t="shared" si="2"/>
        <v>190</v>
      </c>
      <c r="E67" s="152">
        <v>2</v>
      </c>
      <c r="F67" s="151" t="s">
        <v>20</v>
      </c>
      <c r="G67" s="152"/>
      <c r="H67" s="153" t="str">
        <f>IF(T42="","Endspiel F30 / S. "&amp;D42,IF(T42=2,H42,L42))</f>
        <v>TSV Radevormwald</v>
      </c>
      <c r="I67" s="157" t="s">
        <v>28</v>
      </c>
      <c r="J67" s="151" t="s">
        <v>20</v>
      </c>
      <c r="K67" s="152"/>
      <c r="L67" s="153" t="str">
        <f>IF(T43="","S. "&amp;D43,IF(T43=2,H43,L43))</f>
        <v>VfL Hannover</v>
      </c>
      <c r="M67" s="151" t="s">
        <v>20</v>
      </c>
      <c r="N67" s="152"/>
      <c r="O67" s="183" t="str">
        <f>IF(T56="","S. "&amp;D56,IF(T56=2,H56,L56))</f>
        <v>MTV Eiche Schönebeck</v>
      </c>
      <c r="P67" s="169"/>
      <c r="Q67" s="152">
        <v>35</v>
      </c>
      <c r="R67" s="157" t="s">
        <v>27</v>
      </c>
      <c r="S67" s="171">
        <v>39</v>
      </c>
      <c r="T67" s="170">
        <f t="shared" si="3"/>
        <v>0</v>
      </c>
      <c r="U67" s="157" t="s">
        <v>27</v>
      </c>
      <c r="V67" s="171">
        <f t="shared" si="4"/>
        <v>2</v>
      </c>
      <c r="W67" s="166"/>
      <c r="X67" s="157" t="s">
        <v>53</v>
      </c>
      <c r="Y67" s="157" t="s">
        <v>53</v>
      </c>
      <c r="AA67" s="145" t="s">
        <v>100</v>
      </c>
      <c r="AB67" s="145">
        <v>3</v>
      </c>
      <c r="AC67" s="145" t="s">
        <v>39</v>
      </c>
    </row>
    <row r="68" spans="2:29" ht="12.75">
      <c r="B68" s="152"/>
      <c r="C68" s="152"/>
      <c r="D68" s="152">
        <f t="shared" si="2"/>
        <v>191</v>
      </c>
      <c r="E68" s="152">
        <v>3</v>
      </c>
      <c r="F68" s="151" t="s">
        <v>19</v>
      </c>
      <c r="G68" s="152"/>
      <c r="H68" s="153" t="str">
        <f>IF(T44="","Endspiel M30 / S. "&amp;D44,IF(T44=2,H44,L44))</f>
        <v>TSV Krumbach</v>
      </c>
      <c r="I68" s="157" t="s">
        <v>28</v>
      </c>
      <c r="J68" s="151" t="s">
        <v>19</v>
      </c>
      <c r="K68" s="152"/>
      <c r="L68" s="153" t="str">
        <f>IF(T45="","S. "&amp;D45,IF(T45=2,H45,L45))</f>
        <v>TV Kleefeld</v>
      </c>
      <c r="M68" s="151" t="s">
        <v>19</v>
      </c>
      <c r="N68" s="152"/>
      <c r="O68" s="183" t="str">
        <f>IF(T57="","S. "&amp;D57,IF(T57=2,H57,L57))</f>
        <v>SV Prag Stuttgart</v>
      </c>
      <c r="P68" s="169"/>
      <c r="Q68" s="152">
        <v>41</v>
      </c>
      <c r="R68" s="157" t="s">
        <v>27</v>
      </c>
      <c r="S68" s="171">
        <v>34</v>
      </c>
      <c r="T68" s="170">
        <f>IF(Q68="","",IF(Q68&gt;S68,2,IF(Q68&lt;S68,0,1)))</f>
        <v>2</v>
      </c>
      <c r="U68" s="157" t="s">
        <v>27</v>
      </c>
      <c r="V68" s="171">
        <f>IF(S68="","",IF(S68&gt;Q68,2,IF(S68&lt;Q68,0,1)))</f>
        <v>0</v>
      </c>
      <c r="W68" s="166"/>
      <c r="X68" s="157" t="s">
        <v>53</v>
      </c>
      <c r="Y68" s="157" t="s">
        <v>53</v>
      </c>
      <c r="AA68" s="145" t="s">
        <v>100</v>
      </c>
      <c r="AB68" s="145">
        <v>3</v>
      </c>
      <c r="AC68" s="145" t="s">
        <v>39</v>
      </c>
    </row>
    <row r="69" spans="2:25" ht="12.75">
      <c r="B69" s="159"/>
      <c r="C69" s="159"/>
      <c r="D69" s="159">
        <f>+D68+1</f>
        <v>192</v>
      </c>
      <c r="E69" s="159">
        <v>4</v>
      </c>
      <c r="F69" s="160"/>
      <c r="G69" s="159"/>
      <c r="H69" s="161"/>
      <c r="I69" s="162" t="s">
        <v>28</v>
      </c>
      <c r="J69" s="160"/>
      <c r="K69" s="159"/>
      <c r="L69" s="173"/>
      <c r="M69" s="160"/>
      <c r="N69" s="159"/>
      <c r="O69" s="173"/>
      <c r="P69" s="163"/>
      <c r="Q69" s="159"/>
      <c r="R69" s="162" t="s">
        <v>27</v>
      </c>
      <c r="S69" s="165"/>
      <c r="T69" s="164">
        <f>IF(Q69="","",IF(Q69&gt;S69,2,IF(Q69&lt;S69,0,1)))</f>
      </c>
      <c r="U69" s="162" t="s">
        <v>27</v>
      </c>
      <c r="V69" s="165">
        <f>IF(S69="","",IF(S69&gt;Q69,2,IF(S69&lt;Q69,0,1)))</f>
      </c>
      <c r="W69" s="166"/>
      <c r="X69" s="162" t="s">
        <v>53</v>
      </c>
      <c r="Y69" s="162" t="s">
        <v>53</v>
      </c>
    </row>
    <row r="70" spans="2:25" ht="12.75" hidden="1" outlineLevel="1">
      <c r="B70" s="152"/>
      <c r="C70" s="168"/>
      <c r="D70" s="152"/>
      <c r="E70" s="152"/>
      <c r="F70" s="151"/>
      <c r="G70" s="152"/>
      <c r="H70" s="153"/>
      <c r="I70" s="157"/>
      <c r="J70" s="151"/>
      <c r="K70" s="152"/>
      <c r="L70" s="153"/>
      <c r="M70" s="151"/>
      <c r="N70" s="152"/>
      <c r="O70" s="183"/>
      <c r="P70" s="169"/>
      <c r="Q70" s="152"/>
      <c r="R70" s="157"/>
      <c r="S70" s="171"/>
      <c r="T70" s="170"/>
      <c r="U70" s="157"/>
      <c r="V70" s="171"/>
      <c r="W70" s="166"/>
      <c r="X70" s="157"/>
      <c r="Y70" s="157"/>
    </row>
    <row r="71" spans="2:27" ht="12.75" hidden="1" outlineLevel="1">
      <c r="B71" s="152"/>
      <c r="C71" s="152"/>
      <c r="D71" s="152">
        <f t="shared" si="2"/>
        <v>1</v>
      </c>
      <c r="E71" s="152">
        <v>2</v>
      </c>
      <c r="F71" s="151" t="s">
        <v>19</v>
      </c>
      <c r="G71" s="152"/>
      <c r="H71" s="153" t="str">
        <f>IF($T$46="","Platz 5 / V. "&amp;$D$46,IF(T46=0,H46,L46))</f>
        <v>TSV Burgdorf</v>
      </c>
      <c r="I71" s="157" t="s">
        <v>28</v>
      </c>
      <c r="J71" s="151" t="s">
        <v>19</v>
      </c>
      <c r="K71" s="152"/>
      <c r="L71" s="153" t="str">
        <f>IF($T$52="","V. "&amp;$D$52,IF(T52=0,H52,L52))</f>
        <v>SV Werder Bremen</v>
      </c>
      <c r="M71" s="151" t="s">
        <v>19</v>
      </c>
      <c r="N71" s="152"/>
      <c r="O71" s="183" t="str">
        <f>IF($T$64="","V. "&amp;$D$64,IF($T$64=0,$H$64,$L$64))</f>
        <v>SF Ricklingen</v>
      </c>
      <c r="P71" s="169"/>
      <c r="Q71" s="152"/>
      <c r="R71" s="157" t="s">
        <v>27</v>
      </c>
      <c r="S71" s="171"/>
      <c r="T71" s="170">
        <f aca="true" t="shared" si="7" ref="T71:T94">IF(Q71="","",IF(Q71&gt;S71,2,IF(Q71&lt;S71,0,1)))</f>
      </c>
      <c r="U71" s="157" t="s">
        <v>27</v>
      </c>
      <c r="V71" s="171">
        <f aca="true" t="shared" si="8" ref="V71:V94">IF(S71="","",IF(S71&gt;Q71,2,IF(S71&lt;Q71,0,1)))</f>
      </c>
      <c r="W71" s="166"/>
      <c r="X71" s="157" t="s">
        <v>53</v>
      </c>
      <c r="Y71" s="157" t="s">
        <v>53</v>
      </c>
      <c r="Z71" s="145" t="s">
        <v>55</v>
      </c>
      <c r="AA71" s="145" t="s">
        <v>71</v>
      </c>
    </row>
    <row r="72" spans="2:27" ht="12.75" hidden="1" outlineLevel="1">
      <c r="B72" s="152"/>
      <c r="C72" s="152"/>
      <c r="D72" s="152">
        <f t="shared" si="2"/>
        <v>2</v>
      </c>
      <c r="E72" s="152">
        <v>3</v>
      </c>
      <c r="F72" s="151" t="s">
        <v>21</v>
      </c>
      <c r="G72" s="152"/>
      <c r="H72" s="153" t="str">
        <f>IF($T$47="","Platz 5 / V. "&amp;$D$47,IF(T47=0,H47,L47))</f>
        <v>VT Contwig</v>
      </c>
      <c r="I72" s="157" t="s">
        <v>28</v>
      </c>
      <c r="J72" s="151" t="s">
        <v>21</v>
      </c>
      <c r="K72" s="152"/>
      <c r="L72" s="153" t="str">
        <f>IF($T$53="","V. "&amp;$D$53,IF(T53=0,H53,L53))</f>
        <v>SV Werder Bremen</v>
      </c>
      <c r="M72" s="151" t="s">
        <v>21</v>
      </c>
      <c r="N72" s="152"/>
      <c r="O72" s="183" t="str">
        <f>IF($T$65="","V. "&amp;$D$65,IF($T$65=0,$H$65,$L$65))</f>
        <v>V. 188</v>
      </c>
      <c r="P72" s="169"/>
      <c r="Q72" s="152"/>
      <c r="R72" s="157" t="s">
        <v>27</v>
      </c>
      <c r="S72" s="171"/>
      <c r="T72" s="170">
        <f t="shared" si="7"/>
      </c>
      <c r="U72" s="157" t="s">
        <v>27</v>
      </c>
      <c r="V72" s="171">
        <f t="shared" si="8"/>
      </c>
      <c r="W72" s="166"/>
      <c r="X72" s="157" t="s">
        <v>53</v>
      </c>
      <c r="Y72" s="157" t="s">
        <v>53</v>
      </c>
      <c r="Z72" s="145" t="s">
        <v>55</v>
      </c>
      <c r="AA72" s="145" t="s">
        <v>71</v>
      </c>
    </row>
    <row r="73" spans="2:27" ht="12.75" hidden="1" outlineLevel="1">
      <c r="B73" s="159"/>
      <c r="C73" s="159"/>
      <c r="D73" s="159">
        <f t="shared" si="2"/>
        <v>3</v>
      </c>
      <c r="E73" s="159">
        <v>4</v>
      </c>
      <c r="F73" s="160" t="s">
        <v>20</v>
      </c>
      <c r="G73" s="159"/>
      <c r="H73" s="161" t="str">
        <f>IF($T$48="","Platz 5 / V. "&amp;$D$48,IF(T48=0,H48,L48))</f>
        <v>VSK Osterholz Scharmbeck</v>
      </c>
      <c r="I73" s="162" t="s">
        <v>28</v>
      </c>
      <c r="J73" s="160" t="s">
        <v>20</v>
      </c>
      <c r="K73" s="159"/>
      <c r="L73" s="161" t="str">
        <f>IF($T$54="","V. "&amp;$D$54,IF(T54=0,H54,L54))</f>
        <v>TSV Ludwigshafen</v>
      </c>
      <c r="M73" s="160" t="s">
        <v>20</v>
      </c>
      <c r="N73" s="159"/>
      <c r="O73" s="173" t="str">
        <f>IF($T$66="","V. "&amp;$D$66,IF($T$66=0,$H$66,$L$66))</f>
        <v>V. 189</v>
      </c>
      <c r="P73" s="163"/>
      <c r="Q73" s="159"/>
      <c r="R73" s="162" t="s">
        <v>27</v>
      </c>
      <c r="S73" s="165"/>
      <c r="T73" s="164">
        <f t="shared" si="7"/>
      </c>
      <c r="U73" s="162" t="s">
        <v>27</v>
      </c>
      <c r="V73" s="165">
        <f t="shared" si="8"/>
      </c>
      <c r="W73" s="166"/>
      <c r="X73" s="162" t="s">
        <v>53</v>
      </c>
      <c r="Y73" s="162" t="s">
        <v>53</v>
      </c>
      <c r="Z73" s="145" t="s">
        <v>55</v>
      </c>
      <c r="AA73" s="145" t="s">
        <v>71</v>
      </c>
    </row>
    <row r="74" spans="2:27" ht="12.75" hidden="1" outlineLevel="1">
      <c r="B74" s="152"/>
      <c r="C74" s="150"/>
      <c r="D74" s="152">
        <f>+D73+1</f>
        <v>4</v>
      </c>
      <c r="E74" s="152">
        <v>5</v>
      </c>
      <c r="F74" s="151" t="s">
        <v>69</v>
      </c>
      <c r="G74" s="152"/>
      <c r="H74" s="153" t="str">
        <f>IF($T$50="","Platz 5 / V. "&amp;$D$50,IF(T50=0,H50,L50))</f>
        <v>SKG Ober Ramstadt</v>
      </c>
      <c r="I74" s="157" t="s">
        <v>28</v>
      </c>
      <c r="J74" s="151" t="s">
        <v>69</v>
      </c>
      <c r="K74" s="152"/>
      <c r="L74" s="153" t="str">
        <f>IF($T$56="","V. "&amp;$D$56,IF(T56=0,H56,L56))</f>
        <v>TV Edingen</v>
      </c>
      <c r="M74" s="151" t="s">
        <v>69</v>
      </c>
      <c r="N74" s="152"/>
      <c r="O74" s="183" t="str">
        <f>IF($T$68="","V. "&amp;$D$68,IF($T$68=0,$H$68,$L$68))</f>
        <v>TV Kleefeld</v>
      </c>
      <c r="P74" s="169"/>
      <c r="Q74" s="152"/>
      <c r="R74" s="157" t="s">
        <v>27</v>
      </c>
      <c r="S74" s="171"/>
      <c r="T74" s="170">
        <f>IF(Q74="","",IF(Q74&gt;S74,2,IF(Q74&lt;S74,0,1)))</f>
      </c>
      <c r="U74" s="157" t="s">
        <v>27</v>
      </c>
      <c r="V74" s="171">
        <f>IF(S74="","",IF(S74&gt;Q74,2,IF(S74&lt;Q74,0,1)))</f>
      </c>
      <c r="W74" s="166"/>
      <c r="X74" s="157" t="s">
        <v>53</v>
      </c>
      <c r="Y74" s="157" t="s">
        <v>53</v>
      </c>
      <c r="Z74" s="145" t="s">
        <v>55</v>
      </c>
      <c r="AA74" s="145" t="s">
        <v>71</v>
      </c>
    </row>
    <row r="75" spans="2:27" ht="12.75" hidden="1" outlineLevel="1">
      <c r="B75" s="152"/>
      <c r="C75" s="152"/>
      <c r="D75" s="152">
        <f>+D74+1</f>
        <v>5</v>
      </c>
      <c r="E75" s="152">
        <v>6</v>
      </c>
      <c r="F75" s="151" t="s">
        <v>22</v>
      </c>
      <c r="G75" s="152"/>
      <c r="H75" s="153" t="str">
        <f>IF($T$51="","Platz 5 / V. "&amp;$D$51,IF(T51=0,H51,L51))</f>
        <v>VfK 1901 Berlin</v>
      </c>
      <c r="I75" s="157" t="s">
        <v>28</v>
      </c>
      <c r="J75" s="151" t="s">
        <v>22</v>
      </c>
      <c r="K75" s="152"/>
      <c r="L75" s="153" t="str">
        <f>IF($T$57="","V. "&amp;$D$57,IF(T57=0,H57,L57))</f>
        <v>SV Weiler</v>
      </c>
      <c r="M75" s="151" t="s">
        <v>22</v>
      </c>
      <c r="N75" s="152"/>
      <c r="O75" s="183" t="str">
        <f>IF($T$69="","V. "&amp;$D$69,IF($T$69=0,$H$69,$L$69))</f>
        <v>V. 192</v>
      </c>
      <c r="P75" s="169"/>
      <c r="Q75" s="152"/>
      <c r="R75" s="157" t="s">
        <v>27</v>
      </c>
      <c r="S75" s="171"/>
      <c r="T75" s="170">
        <f>IF(Q75="","",IF(Q75&gt;S75,2,IF(Q75&lt;S75,0,1)))</f>
      </c>
      <c r="U75" s="157" t="s">
        <v>27</v>
      </c>
      <c r="V75" s="171">
        <f>IF(S75="","",IF(S75&gt;Q75,2,IF(S75&lt;Q75,0,1)))</f>
      </c>
      <c r="W75" s="166"/>
      <c r="X75" s="157" t="s">
        <v>53</v>
      </c>
      <c r="Y75" s="157" t="s">
        <v>53</v>
      </c>
      <c r="Z75" s="145" t="s">
        <v>55</v>
      </c>
      <c r="AA75" s="145" t="s">
        <v>71</v>
      </c>
    </row>
    <row r="76" spans="2:27" ht="12.75" hidden="1" outlineLevel="1">
      <c r="B76" s="152"/>
      <c r="C76" s="168"/>
      <c r="D76" s="152">
        <f>+D75+1</f>
        <v>6</v>
      </c>
      <c r="E76" s="152">
        <v>1</v>
      </c>
      <c r="F76" s="151" t="s">
        <v>20</v>
      </c>
      <c r="G76" s="152"/>
      <c r="H76" s="153" t="str">
        <f>IF($T$66="","Platz 3 / V. "&amp;$D$66,IF(T66=0,H66,L66))</f>
        <v>Platz 3 / V. 189</v>
      </c>
      <c r="I76" s="157" t="s">
        <v>28</v>
      </c>
      <c r="J76" s="151" t="s">
        <v>20</v>
      </c>
      <c r="K76" s="152"/>
      <c r="L76" s="153" t="str">
        <f>IF($T$59="","V. "&amp;$D$59,IF(T59=0,H59,L59))</f>
        <v>TSV Bayer Leverkusen</v>
      </c>
      <c r="M76" s="151" t="s">
        <v>20</v>
      </c>
      <c r="N76" s="152"/>
      <c r="O76" s="183" t="str">
        <f>IF($T$73="","V. "&amp;$D$73,IF($T$73=0,$H$73,$L$73))</f>
        <v>V. 3</v>
      </c>
      <c r="P76" s="169"/>
      <c r="Q76" s="152"/>
      <c r="R76" s="157" t="s">
        <v>27</v>
      </c>
      <c r="S76" s="171"/>
      <c r="T76" s="170">
        <f t="shared" si="7"/>
      </c>
      <c r="U76" s="157" t="s">
        <v>27</v>
      </c>
      <c r="V76" s="171">
        <f t="shared" si="8"/>
      </c>
      <c r="W76" s="166"/>
      <c r="X76" s="157" t="s">
        <v>53</v>
      </c>
      <c r="Y76" s="157" t="s">
        <v>53</v>
      </c>
      <c r="Z76" s="145" t="s">
        <v>54</v>
      </c>
      <c r="AA76" s="145" t="s">
        <v>70</v>
      </c>
    </row>
    <row r="77" spans="2:27" ht="12.75" hidden="1" outlineLevel="1">
      <c r="B77" s="159"/>
      <c r="C77" s="159"/>
      <c r="D77" s="159">
        <f t="shared" si="2"/>
        <v>7</v>
      </c>
      <c r="E77" s="159">
        <v>2</v>
      </c>
      <c r="F77" s="160" t="s">
        <v>23</v>
      </c>
      <c r="G77" s="159"/>
      <c r="H77" s="161" t="str">
        <f>IF($T$67="","Platz 3 / V. "&amp;$D$67,IF(T67=0,H67,L67))</f>
        <v>TSV Radevormwald</v>
      </c>
      <c r="I77" s="162" t="s">
        <v>28</v>
      </c>
      <c r="J77" s="160" t="s">
        <v>23</v>
      </c>
      <c r="K77" s="159"/>
      <c r="L77" s="161" t="str">
        <f>IF($T$60="","V. "&amp;$D$60,IF(T60=0,H60,L60))</f>
        <v>TuS Ferndorf</v>
      </c>
      <c r="M77" s="160" t="s">
        <v>23</v>
      </c>
      <c r="N77" s="159"/>
      <c r="O77" s="173" t="str">
        <f>IF($T$70="","V. "&amp;$D$70,IF($T$70=0,$H$70,$L$70))</f>
        <v>V. </v>
      </c>
      <c r="P77" s="163"/>
      <c r="Q77" s="159"/>
      <c r="R77" s="162" t="s">
        <v>27</v>
      </c>
      <c r="S77" s="165"/>
      <c r="T77" s="164">
        <f t="shared" si="7"/>
      </c>
      <c r="U77" s="162" t="s">
        <v>27</v>
      </c>
      <c r="V77" s="165">
        <f t="shared" si="8"/>
      </c>
      <c r="W77" s="166"/>
      <c r="X77" s="162" t="s">
        <v>53</v>
      </c>
      <c r="Y77" s="162" t="s">
        <v>53</v>
      </c>
      <c r="Z77" s="145" t="s">
        <v>54</v>
      </c>
      <c r="AA77" s="145" t="s">
        <v>70</v>
      </c>
    </row>
    <row r="78" spans="2:27" ht="12.75" hidden="1" outlineLevel="1">
      <c r="B78" s="152"/>
      <c r="C78" s="150"/>
      <c r="D78" s="152">
        <f t="shared" si="2"/>
        <v>8</v>
      </c>
      <c r="E78" s="152">
        <v>3</v>
      </c>
      <c r="F78" s="151" t="s">
        <v>19</v>
      </c>
      <c r="G78" s="152"/>
      <c r="H78" s="153" t="str">
        <f>IF($T$64="","Platz 3 / V. "&amp;$D$64,IF(T64=0,H64,L64))</f>
        <v>SF Ricklingen</v>
      </c>
      <c r="I78" s="157" t="s">
        <v>28</v>
      </c>
      <c r="J78" s="151" t="s">
        <v>19</v>
      </c>
      <c r="K78" s="152"/>
      <c r="L78" s="153" t="str">
        <f>IF($T$61="","V. "&amp;$D$61,IF(T61=0,H61,L61))</f>
        <v>V. 184</v>
      </c>
      <c r="M78" s="151" t="s">
        <v>19</v>
      </c>
      <c r="N78" s="152"/>
      <c r="O78" s="183" t="str">
        <f>IF($T$71="","V. "&amp;$D$71,IF($T$71=0,$H$71,$L$71))</f>
        <v>V. 1</v>
      </c>
      <c r="P78" s="169"/>
      <c r="Q78" s="152"/>
      <c r="R78" s="157" t="s">
        <v>27</v>
      </c>
      <c r="S78" s="171"/>
      <c r="T78" s="170">
        <f t="shared" si="7"/>
      </c>
      <c r="U78" s="157" t="s">
        <v>27</v>
      </c>
      <c r="V78" s="171">
        <f t="shared" si="8"/>
      </c>
      <c r="W78" s="166"/>
      <c r="X78" s="157" t="s">
        <v>53</v>
      </c>
      <c r="Y78" s="157" t="s">
        <v>53</v>
      </c>
      <c r="Z78" s="145" t="s">
        <v>54</v>
      </c>
      <c r="AA78" s="145" t="s">
        <v>70</v>
      </c>
    </row>
    <row r="79" spans="2:27" ht="12.75" hidden="1" outlineLevel="1">
      <c r="B79" s="152"/>
      <c r="C79" s="152"/>
      <c r="D79" s="152">
        <f t="shared" si="2"/>
        <v>9</v>
      </c>
      <c r="E79" s="152">
        <v>4</v>
      </c>
      <c r="F79" s="151" t="s">
        <v>21</v>
      </c>
      <c r="G79" s="152"/>
      <c r="H79" s="153" t="str">
        <f>IF($T$65="","Platz 3 / V. "&amp;$D$65,IF(T65=0,H65,L65))</f>
        <v>Platz 3 / V. 188</v>
      </c>
      <c r="I79" s="157" t="s">
        <v>28</v>
      </c>
      <c r="J79" s="151" t="s">
        <v>21</v>
      </c>
      <c r="K79" s="152"/>
      <c r="L79" s="153" t="str">
        <f>IF($T$58="","V. "&amp;$D$58,IF(T58=0,H58,L58))</f>
        <v>V. 181</v>
      </c>
      <c r="M79" s="151" t="s">
        <v>21</v>
      </c>
      <c r="N79" s="152"/>
      <c r="O79" s="183" t="str">
        <f>IF($T$72="","V. "&amp;$D$72,IF($T$72=0,$H$72,$L$72))</f>
        <v>V. 2</v>
      </c>
      <c r="P79" s="169"/>
      <c r="Q79" s="152"/>
      <c r="R79" s="157" t="s">
        <v>27</v>
      </c>
      <c r="S79" s="171"/>
      <c r="T79" s="170">
        <f t="shared" si="7"/>
      </c>
      <c r="U79" s="157" t="s">
        <v>27</v>
      </c>
      <c r="V79" s="171">
        <f t="shared" si="8"/>
      </c>
      <c r="W79" s="166"/>
      <c r="X79" s="157" t="s">
        <v>53</v>
      </c>
      <c r="Y79" s="157" t="s">
        <v>53</v>
      </c>
      <c r="Z79" s="145" t="s">
        <v>54</v>
      </c>
      <c r="AA79" s="145" t="s">
        <v>70</v>
      </c>
    </row>
    <row r="80" spans="2:27" ht="12.75" hidden="1" outlineLevel="1">
      <c r="B80" s="152"/>
      <c r="C80" s="152"/>
      <c r="D80" s="152">
        <f>+D79+1</f>
        <v>10</v>
      </c>
      <c r="E80" s="152">
        <v>5</v>
      </c>
      <c r="F80" s="151" t="s">
        <v>69</v>
      </c>
      <c r="G80" s="152"/>
      <c r="H80" s="153" t="str">
        <f>IF($T$68="","Platz 3 / V. "&amp;$D$68,IF(T68=0,H68,L68))</f>
        <v>TV Kleefeld</v>
      </c>
      <c r="I80" s="157" t="s">
        <v>28</v>
      </c>
      <c r="J80" s="151" t="s">
        <v>69</v>
      </c>
      <c r="K80" s="152"/>
      <c r="L80" s="153" t="str">
        <f>IF($T$62="","V. "&amp;$D$62,IF(T62=0,H62,L62))</f>
        <v>V. 185</v>
      </c>
      <c r="M80" s="151" t="s">
        <v>69</v>
      </c>
      <c r="N80" s="152"/>
      <c r="O80" s="183" t="str">
        <f>IF($T$74="","V. "&amp;$D$74,IF($T$74=0,$H$74,$L$74))</f>
        <v>V. 4</v>
      </c>
      <c r="P80" s="169"/>
      <c r="Q80" s="152"/>
      <c r="R80" s="157" t="s">
        <v>27</v>
      </c>
      <c r="S80" s="171"/>
      <c r="T80" s="170">
        <f>IF(Q80="","",IF(Q80&gt;S80,2,IF(Q80&lt;S80,0,1)))</f>
      </c>
      <c r="U80" s="157" t="s">
        <v>27</v>
      </c>
      <c r="V80" s="171">
        <f>IF(S80="","",IF(S80&gt;Q80,2,IF(S80&lt;Q80,0,1)))</f>
      </c>
      <c r="W80" s="166"/>
      <c r="X80" s="157" t="s">
        <v>53</v>
      </c>
      <c r="Y80" s="157" t="s">
        <v>53</v>
      </c>
      <c r="Z80" s="145" t="s">
        <v>54</v>
      </c>
      <c r="AA80" s="145" t="s">
        <v>70</v>
      </c>
    </row>
    <row r="81" spans="2:27" ht="12.75" hidden="1" outlineLevel="1">
      <c r="B81" s="159"/>
      <c r="C81" s="159"/>
      <c r="D81" s="159">
        <f>+D80+1</f>
        <v>11</v>
      </c>
      <c r="E81" s="159">
        <v>6</v>
      </c>
      <c r="F81" s="160" t="s">
        <v>22</v>
      </c>
      <c r="G81" s="159"/>
      <c r="H81" s="161" t="str">
        <f>IF($T$63="","Platz 3 / V. "&amp;$D$63,IF(T63=0,H63,L63))</f>
        <v>TG Giengen</v>
      </c>
      <c r="I81" s="162" t="s">
        <v>28</v>
      </c>
      <c r="J81" s="160" t="s">
        <v>22</v>
      </c>
      <c r="K81" s="159"/>
      <c r="L81" s="161" t="str">
        <f>IF($T$69="","V. "&amp;$D$69,IF(T69=0,H69,L69))</f>
        <v>V. 192</v>
      </c>
      <c r="M81" s="160" t="s">
        <v>22</v>
      </c>
      <c r="N81" s="159"/>
      <c r="O81" s="173" t="str">
        <f>IF($T$75="","V. "&amp;$D$75,IF($T$75=0,$H$75,$L$75))</f>
        <v>V. 5</v>
      </c>
      <c r="P81" s="163"/>
      <c r="Q81" s="159"/>
      <c r="R81" s="162" t="s">
        <v>27</v>
      </c>
      <c r="S81" s="165"/>
      <c r="T81" s="164">
        <f>IF(Q81="","",IF(Q81&gt;S81,2,IF(Q81&lt;S81,0,1)))</f>
      </c>
      <c r="U81" s="162" t="s">
        <v>27</v>
      </c>
      <c r="V81" s="165">
        <f>IF(S81="","",IF(S81&gt;Q81,2,IF(S81&lt;Q81,0,1)))</f>
      </c>
      <c r="W81" s="166"/>
      <c r="X81" s="162" t="s">
        <v>53</v>
      </c>
      <c r="Y81" s="162" t="s">
        <v>53</v>
      </c>
      <c r="Z81" s="145" t="s">
        <v>54</v>
      </c>
      <c r="AA81" s="145" t="s">
        <v>70</v>
      </c>
    </row>
    <row r="82" spans="2:25" ht="12.75" hidden="1" outlineLevel="1">
      <c r="B82" s="152"/>
      <c r="C82" s="168"/>
      <c r="D82" s="152">
        <f>+D79+1</f>
        <v>10</v>
      </c>
      <c r="E82" s="152">
        <v>1</v>
      </c>
      <c r="F82" s="151"/>
      <c r="G82" s="152"/>
      <c r="H82" s="153"/>
      <c r="I82" s="157" t="s">
        <v>28</v>
      </c>
      <c r="J82" s="151"/>
      <c r="K82" s="152"/>
      <c r="L82" s="153"/>
      <c r="M82" s="151"/>
      <c r="N82" s="152"/>
      <c r="O82" s="153"/>
      <c r="P82" s="169"/>
      <c r="Q82" s="152"/>
      <c r="R82" s="157" t="s">
        <v>27</v>
      </c>
      <c r="S82" s="171"/>
      <c r="T82" s="170">
        <f t="shared" si="7"/>
      </c>
      <c r="U82" s="157" t="s">
        <v>27</v>
      </c>
      <c r="V82" s="171">
        <f t="shared" si="8"/>
      </c>
      <c r="W82" s="166"/>
      <c r="X82" s="157" t="s">
        <v>53</v>
      </c>
      <c r="Y82" s="157" t="s">
        <v>53</v>
      </c>
    </row>
    <row r="83" spans="2:27" ht="12.75" hidden="1" outlineLevel="1">
      <c r="B83" s="152"/>
      <c r="C83" s="152"/>
      <c r="D83" s="152">
        <f aca="true" t="shared" si="9" ref="D83:D101">+D82+1</f>
        <v>11</v>
      </c>
      <c r="E83" s="152">
        <v>2</v>
      </c>
      <c r="F83" s="151" t="s">
        <v>23</v>
      </c>
      <c r="G83" s="152"/>
      <c r="H83" s="153" t="str">
        <f>IF($T$67="","Endspiel M50 / S. "&amp;$D$67,IF(T67=2,H67,L67))</f>
        <v>VfL Hannover</v>
      </c>
      <c r="I83" s="157" t="s">
        <v>28</v>
      </c>
      <c r="J83" s="151" t="s">
        <v>23</v>
      </c>
      <c r="K83" s="152"/>
      <c r="L83" s="153" t="str">
        <f>IF($T$60="","S. "&amp;$D$60,IF(T60=2,H60,L60))</f>
        <v>SF Ricklingen</v>
      </c>
      <c r="M83" s="151" t="s">
        <v>23</v>
      </c>
      <c r="N83" s="152"/>
      <c r="O83" s="183" t="str">
        <f>IF($T$77="","S. "&amp;$D$77,IF($T$77=2,$H$77,$L$77))</f>
        <v>S. 7</v>
      </c>
      <c r="P83" s="169"/>
      <c r="Q83" s="152"/>
      <c r="R83" s="157" t="s">
        <v>27</v>
      </c>
      <c r="S83" s="171"/>
      <c r="T83" s="170">
        <f t="shared" si="7"/>
      </c>
      <c r="U83" s="157" t="s">
        <v>27</v>
      </c>
      <c r="V83" s="171">
        <f t="shared" si="8"/>
      </c>
      <c r="W83" s="166"/>
      <c r="X83" s="157" t="s">
        <v>53</v>
      </c>
      <c r="Y83" s="157" t="s">
        <v>53</v>
      </c>
      <c r="Z83" s="145" t="s">
        <v>56</v>
      </c>
      <c r="AA83" s="145" t="s">
        <v>39</v>
      </c>
    </row>
    <row r="84" spans="2:27" ht="12.75" hidden="1" outlineLevel="1">
      <c r="B84" s="152"/>
      <c r="C84" s="152"/>
      <c r="D84" s="152">
        <f t="shared" si="9"/>
        <v>12</v>
      </c>
      <c r="E84" s="152">
        <v>3</v>
      </c>
      <c r="F84" s="151" t="s">
        <v>20</v>
      </c>
      <c r="G84" s="152"/>
      <c r="H84" s="153" t="str">
        <f>IF($T$66="","Endspiel F30 / S. "&amp;$D$66,IF(T66=2,H66,L66))</f>
        <v>Endspiel F30 / S. 189</v>
      </c>
      <c r="I84" s="157" t="s">
        <v>28</v>
      </c>
      <c r="J84" s="151" t="s">
        <v>20</v>
      </c>
      <c r="K84" s="152"/>
      <c r="L84" s="153" t="str">
        <f>IF($T$59="","S. "&amp;$D$59,IF(T59=2,H59,L59))</f>
        <v>Eiserfelder TV</v>
      </c>
      <c r="M84" s="151" t="s">
        <v>20</v>
      </c>
      <c r="N84" s="152"/>
      <c r="O84" s="183" t="str">
        <f>IF($T$76="","S. "&amp;$D$76,IF($T$76=2,$H$76,$L$76))</f>
        <v>S. 6</v>
      </c>
      <c r="P84" s="169"/>
      <c r="Q84" s="152"/>
      <c r="R84" s="157" t="s">
        <v>27</v>
      </c>
      <c r="S84" s="171"/>
      <c r="T84" s="170">
        <f t="shared" si="7"/>
      </c>
      <c r="U84" s="157" t="s">
        <v>27</v>
      </c>
      <c r="V84" s="171">
        <f t="shared" si="8"/>
      </c>
      <c r="W84" s="166"/>
      <c r="X84" s="157" t="s">
        <v>53</v>
      </c>
      <c r="Y84" s="157" t="s">
        <v>53</v>
      </c>
      <c r="Z84" s="145" t="s">
        <v>56</v>
      </c>
      <c r="AA84" s="145" t="s">
        <v>39</v>
      </c>
    </row>
    <row r="85" spans="2:27" ht="12.75" hidden="1" outlineLevel="1">
      <c r="B85" s="159"/>
      <c r="C85" s="159"/>
      <c r="D85" s="159">
        <f t="shared" si="9"/>
        <v>13</v>
      </c>
      <c r="E85" s="159">
        <v>4</v>
      </c>
      <c r="F85" s="160" t="s">
        <v>69</v>
      </c>
      <c r="G85" s="159"/>
      <c r="H85" s="161" t="str">
        <f>IF($T$68="","Endspiel M60 / S. "&amp;$D$68,IF(T68=2,H68,L68))</f>
        <v>TSV Krumbach</v>
      </c>
      <c r="I85" s="162"/>
      <c r="J85" s="160" t="s">
        <v>69</v>
      </c>
      <c r="K85" s="159"/>
      <c r="L85" s="161" t="str">
        <f>IF($T$62="","S. "&amp;$D$62,IF(T62=2,H62,L62))</f>
        <v>S. 185</v>
      </c>
      <c r="M85" s="160" t="s">
        <v>69</v>
      </c>
      <c r="N85" s="159"/>
      <c r="O85" s="173" t="str">
        <f>IF($T$80="","S. "&amp;$D$80,IF($T$80=2,$H$80,$L$80))</f>
        <v>S. 10</v>
      </c>
      <c r="P85" s="163"/>
      <c r="Q85" s="159"/>
      <c r="R85" s="162" t="s">
        <v>27</v>
      </c>
      <c r="S85" s="165"/>
      <c r="T85" s="164">
        <f t="shared" si="7"/>
      </c>
      <c r="U85" s="162" t="s">
        <v>27</v>
      </c>
      <c r="V85" s="165">
        <f t="shared" si="8"/>
      </c>
      <c r="W85" s="166"/>
      <c r="X85" s="162" t="s">
        <v>53</v>
      </c>
      <c r="Y85" s="162" t="s">
        <v>53</v>
      </c>
      <c r="Z85" s="145" t="s">
        <v>56</v>
      </c>
      <c r="AA85" s="145" t="s">
        <v>39</v>
      </c>
    </row>
    <row r="86" spans="2:25" ht="12.75" hidden="1" outlineLevel="1">
      <c r="B86" s="152"/>
      <c r="C86" s="168"/>
      <c r="D86" s="152">
        <f t="shared" si="9"/>
        <v>14</v>
      </c>
      <c r="E86" s="152">
        <v>5</v>
      </c>
      <c r="F86" s="166"/>
      <c r="G86" s="152"/>
      <c r="H86" s="153"/>
      <c r="I86" s="157" t="s">
        <v>28</v>
      </c>
      <c r="J86" s="151"/>
      <c r="K86" s="152"/>
      <c r="L86" s="153"/>
      <c r="M86" s="151"/>
      <c r="N86" s="152"/>
      <c r="O86" s="153"/>
      <c r="P86" s="169"/>
      <c r="Q86" s="152"/>
      <c r="R86" s="157" t="s">
        <v>27</v>
      </c>
      <c r="S86" s="171"/>
      <c r="T86" s="170">
        <f>IF(Q86="","",IF(Q86&gt;S86,2,IF(Q86&lt;S86,0,1)))</f>
      </c>
      <c r="U86" s="157" t="s">
        <v>27</v>
      </c>
      <c r="V86" s="171">
        <f>IF(S86="","",IF(S86&gt;Q86,2,IF(S86&lt;Q86,0,1)))</f>
      </c>
      <c r="W86" s="166"/>
      <c r="X86" s="157" t="s">
        <v>53</v>
      </c>
      <c r="Y86" s="157" t="s">
        <v>53</v>
      </c>
    </row>
    <row r="87" spans="2:25" ht="12.75" hidden="1" outlineLevel="1">
      <c r="B87" s="152"/>
      <c r="C87" s="152"/>
      <c r="D87" s="152">
        <f t="shared" si="9"/>
        <v>15</v>
      </c>
      <c r="E87" s="152">
        <v>6</v>
      </c>
      <c r="F87" s="151"/>
      <c r="G87" s="152"/>
      <c r="H87" s="153"/>
      <c r="I87" s="157" t="s">
        <v>28</v>
      </c>
      <c r="J87" s="151"/>
      <c r="K87" s="152"/>
      <c r="L87" s="153"/>
      <c r="M87" s="151"/>
      <c r="N87" s="152"/>
      <c r="O87" s="153"/>
      <c r="P87" s="169"/>
      <c r="Q87" s="152"/>
      <c r="R87" s="157" t="s">
        <v>27</v>
      </c>
      <c r="S87" s="171"/>
      <c r="T87" s="170">
        <f>IF(Q87="","",IF(Q87&gt;S87,2,IF(Q87&lt;S87,0,1)))</f>
      </c>
      <c r="U87" s="157" t="s">
        <v>27</v>
      </c>
      <c r="V87" s="171">
        <f>IF(S87="","",IF(S87&gt;Q87,2,IF(S87&lt;Q87,0,1)))</f>
      </c>
      <c r="W87" s="166"/>
      <c r="X87" s="157" t="s">
        <v>53</v>
      </c>
      <c r="Y87" s="157" t="s">
        <v>53</v>
      </c>
    </row>
    <row r="88" spans="2:25" ht="12.75" hidden="1" outlineLevel="1">
      <c r="B88" s="152"/>
      <c r="C88" s="168"/>
      <c r="D88" s="152">
        <f t="shared" si="9"/>
        <v>16</v>
      </c>
      <c r="E88" s="152">
        <v>1</v>
      </c>
      <c r="F88" s="151"/>
      <c r="G88" s="152"/>
      <c r="H88" s="153"/>
      <c r="I88" s="157" t="s">
        <v>28</v>
      </c>
      <c r="J88" s="151"/>
      <c r="K88" s="152"/>
      <c r="L88" s="153"/>
      <c r="M88" s="151"/>
      <c r="N88" s="152"/>
      <c r="O88" s="153"/>
      <c r="P88" s="169"/>
      <c r="Q88" s="152"/>
      <c r="R88" s="157" t="s">
        <v>27</v>
      </c>
      <c r="S88" s="171"/>
      <c r="T88" s="170">
        <f t="shared" si="7"/>
      </c>
      <c r="U88" s="157" t="s">
        <v>27</v>
      </c>
      <c r="V88" s="171">
        <f t="shared" si="8"/>
      </c>
      <c r="W88" s="166"/>
      <c r="X88" s="157" t="s">
        <v>53</v>
      </c>
      <c r="Y88" s="157" t="s">
        <v>53</v>
      </c>
    </row>
    <row r="89" spans="2:27" ht="12.75" hidden="1" outlineLevel="1">
      <c r="B89" s="159"/>
      <c r="C89" s="159"/>
      <c r="D89" s="159">
        <f t="shared" si="9"/>
        <v>17</v>
      </c>
      <c r="E89" s="159">
        <v>2</v>
      </c>
      <c r="F89" s="160" t="s">
        <v>21</v>
      </c>
      <c r="G89" s="159"/>
      <c r="H89" s="161" t="str">
        <f>IF($T$65="","Endspiel M40 / S. "&amp;$D$65,IF(T65=2,H65,L65))</f>
        <v>Endspiel M40 / S. 188</v>
      </c>
      <c r="I89" s="162" t="s">
        <v>28</v>
      </c>
      <c r="J89" s="160" t="s">
        <v>21</v>
      </c>
      <c r="K89" s="159"/>
      <c r="L89" s="161" t="str">
        <f>IF($T$58="","S. "&amp;$D$58,IF(T58=2,H58,L58))</f>
        <v>S. 181</v>
      </c>
      <c r="M89" s="160" t="s">
        <v>21</v>
      </c>
      <c r="N89" s="159"/>
      <c r="O89" s="173" t="str">
        <f>IF($T$79="","S. "&amp;$D$79,IF($T$79=2,$H$79,$L$79))</f>
        <v>S. 9</v>
      </c>
      <c r="P89" s="163"/>
      <c r="Q89" s="159"/>
      <c r="R89" s="162" t="s">
        <v>27</v>
      </c>
      <c r="S89" s="165"/>
      <c r="T89" s="164">
        <f t="shared" si="7"/>
      </c>
      <c r="U89" s="162" t="s">
        <v>27</v>
      </c>
      <c r="V89" s="165">
        <f t="shared" si="8"/>
      </c>
      <c r="W89" s="166"/>
      <c r="X89" s="162" t="s">
        <v>53</v>
      </c>
      <c r="Y89" s="162" t="s">
        <v>53</v>
      </c>
      <c r="Z89" s="145" t="s">
        <v>56</v>
      </c>
      <c r="AA89" s="145" t="s">
        <v>39</v>
      </c>
    </row>
    <row r="90" spans="2:27" ht="12.75" hidden="1" outlineLevel="1">
      <c r="B90" s="152"/>
      <c r="C90" s="168"/>
      <c r="D90" s="152">
        <f t="shared" si="9"/>
        <v>18</v>
      </c>
      <c r="E90" s="152">
        <v>3</v>
      </c>
      <c r="F90" s="151" t="s">
        <v>22</v>
      </c>
      <c r="G90" s="152"/>
      <c r="H90" s="153" t="str">
        <f>IF($T$69="","Endspiel F40 / S. "&amp;$D$69,IF(T69=2,H69,L69))</f>
        <v>Endspiel F40 / S. 192</v>
      </c>
      <c r="I90" s="157" t="s">
        <v>28</v>
      </c>
      <c r="J90" s="151" t="s">
        <v>22</v>
      </c>
      <c r="K90" s="152"/>
      <c r="L90" s="153" t="str">
        <f>IF($T$63="","S. "&amp;$D$63,IF(T63=2,H63,L63))</f>
        <v>Barmer TG</v>
      </c>
      <c r="M90" s="151" t="s">
        <v>22</v>
      </c>
      <c r="N90" s="152"/>
      <c r="O90" s="183" t="str">
        <f>IF($T$81="","S. "&amp;$D$81,IF($T$81=2,$H$81,$L$81))</f>
        <v>S. 11</v>
      </c>
      <c r="P90" s="169"/>
      <c r="Q90" s="152"/>
      <c r="R90" s="157" t="s">
        <v>27</v>
      </c>
      <c r="S90" s="171"/>
      <c r="T90" s="170">
        <f t="shared" si="7"/>
      </c>
      <c r="U90" s="157" t="s">
        <v>27</v>
      </c>
      <c r="V90" s="171">
        <f t="shared" si="8"/>
      </c>
      <c r="W90" s="166"/>
      <c r="X90" s="157" t="s">
        <v>53</v>
      </c>
      <c r="Y90" s="157" t="s">
        <v>53</v>
      </c>
      <c r="Z90" s="145" t="s">
        <v>56</v>
      </c>
      <c r="AA90" s="145" t="s">
        <v>39</v>
      </c>
    </row>
    <row r="91" spans="2:27" ht="12.75" hidden="1" outlineLevel="1">
      <c r="B91" s="152"/>
      <c r="C91" s="152"/>
      <c r="D91" s="152">
        <f t="shared" si="9"/>
        <v>19</v>
      </c>
      <c r="E91" s="152">
        <v>4</v>
      </c>
      <c r="F91" s="151" t="s">
        <v>19</v>
      </c>
      <c r="G91" s="152"/>
      <c r="H91" s="153" t="str">
        <f>IF($T$64="","Endspiel M30 / S. "&amp;$D$64,IF(T64=2,H64,L64))</f>
        <v>TV FA Altenbochum</v>
      </c>
      <c r="I91" s="157" t="s">
        <v>28</v>
      </c>
      <c r="J91" s="151" t="s">
        <v>19</v>
      </c>
      <c r="K91" s="152"/>
      <c r="L91" s="153" t="str">
        <f>IF($T$61="","S. "&amp;$D$61,IF(T61=2,H61,L61))</f>
        <v>S. 184</v>
      </c>
      <c r="M91" s="151" t="s">
        <v>19</v>
      </c>
      <c r="N91" s="152"/>
      <c r="O91" s="183" t="str">
        <f>IF($T$78="","S. "&amp;$D$78,IF($T$78=2,$H$78,$L$78))</f>
        <v>S. 8</v>
      </c>
      <c r="P91" s="169"/>
      <c r="Q91" s="152"/>
      <c r="R91" s="157" t="s">
        <v>27</v>
      </c>
      <c r="S91" s="171"/>
      <c r="T91" s="170">
        <f t="shared" si="7"/>
      </c>
      <c r="U91" s="157" t="s">
        <v>27</v>
      </c>
      <c r="V91" s="171">
        <f t="shared" si="8"/>
      </c>
      <c r="W91" s="166"/>
      <c r="X91" s="157" t="s">
        <v>53</v>
      </c>
      <c r="Y91" s="157" t="s">
        <v>53</v>
      </c>
      <c r="Z91" s="145" t="s">
        <v>56</v>
      </c>
      <c r="AA91" s="145" t="s">
        <v>39</v>
      </c>
    </row>
    <row r="92" spans="2:25" ht="12.75" hidden="1" outlineLevel="1">
      <c r="B92" s="152"/>
      <c r="C92" s="152"/>
      <c r="D92" s="152">
        <f t="shared" si="9"/>
        <v>20</v>
      </c>
      <c r="E92" s="152">
        <v>5</v>
      </c>
      <c r="F92" s="151"/>
      <c r="G92" s="152"/>
      <c r="H92" s="153"/>
      <c r="I92" s="157" t="s">
        <v>28</v>
      </c>
      <c r="J92" s="151"/>
      <c r="K92" s="152"/>
      <c r="L92" s="153"/>
      <c r="M92" s="151"/>
      <c r="N92" s="152"/>
      <c r="O92" s="153"/>
      <c r="P92" s="169"/>
      <c r="Q92" s="152"/>
      <c r="R92" s="157" t="s">
        <v>27</v>
      </c>
      <c r="S92" s="171"/>
      <c r="T92" s="170">
        <f>IF(Q92="","",IF(Q92&gt;S92,2,IF(Q92&lt;S92,0,1)))</f>
      </c>
      <c r="U92" s="157" t="s">
        <v>27</v>
      </c>
      <c r="V92" s="171">
        <f>IF(S92="","",IF(S92&gt;Q92,2,IF(S92&lt;Q92,0,1)))</f>
      </c>
      <c r="W92" s="166"/>
      <c r="X92" s="157" t="s">
        <v>53</v>
      </c>
      <c r="Y92" s="157" t="s">
        <v>53</v>
      </c>
    </row>
    <row r="93" spans="2:25" ht="12.75" hidden="1" outlineLevel="1">
      <c r="B93" s="159"/>
      <c r="C93" s="159"/>
      <c r="D93" s="159">
        <f t="shared" si="9"/>
        <v>21</v>
      </c>
      <c r="E93" s="159">
        <v>6</v>
      </c>
      <c r="F93" s="160"/>
      <c r="G93" s="159"/>
      <c r="H93" s="161"/>
      <c r="I93" s="162" t="s">
        <v>28</v>
      </c>
      <c r="J93" s="160"/>
      <c r="K93" s="159"/>
      <c r="L93" s="161"/>
      <c r="M93" s="160"/>
      <c r="N93" s="159"/>
      <c r="O93" s="161"/>
      <c r="P93" s="163"/>
      <c r="Q93" s="159"/>
      <c r="R93" s="162" t="s">
        <v>27</v>
      </c>
      <c r="S93" s="165"/>
      <c r="T93" s="164">
        <f>IF(Q93="","",IF(Q93&gt;S93,2,IF(Q93&lt;S93,0,1)))</f>
      </c>
      <c r="U93" s="162" t="s">
        <v>27</v>
      </c>
      <c r="V93" s="165">
        <f>IF(S93="","",IF(S93&gt;Q93,2,IF(S93&lt;Q93,0,1)))</f>
      </c>
      <c r="X93" s="162" t="s">
        <v>53</v>
      </c>
      <c r="Y93" s="162" t="s">
        <v>53</v>
      </c>
    </row>
    <row r="94" spans="2:25" ht="12.75" hidden="1" outlineLevel="1">
      <c r="B94" s="145"/>
      <c r="C94" s="150"/>
      <c r="D94" s="152">
        <f t="shared" si="9"/>
        <v>22</v>
      </c>
      <c r="E94" s="145">
        <v>1</v>
      </c>
      <c r="F94" s="158"/>
      <c r="G94" s="145"/>
      <c r="H94" s="153"/>
      <c r="I94" s="154" t="s">
        <v>28</v>
      </c>
      <c r="J94" s="158"/>
      <c r="K94" s="145"/>
      <c r="L94" s="153"/>
      <c r="M94" s="158"/>
      <c r="N94" s="145"/>
      <c r="O94" s="153"/>
      <c r="P94" s="147"/>
      <c r="Q94" s="145"/>
      <c r="R94" s="154" t="s">
        <v>27</v>
      </c>
      <c r="S94" s="156"/>
      <c r="T94" s="155">
        <f t="shared" si="7"/>
      </c>
      <c r="U94" s="154" t="s">
        <v>27</v>
      </c>
      <c r="V94" s="156">
        <f t="shared" si="8"/>
      </c>
      <c r="X94" s="154" t="s">
        <v>53</v>
      </c>
      <c r="Y94" s="154" t="s">
        <v>53</v>
      </c>
    </row>
    <row r="95" spans="2:25" ht="12.75" hidden="1" outlineLevel="1">
      <c r="B95" s="145"/>
      <c r="C95" s="145"/>
      <c r="D95" s="145">
        <f t="shared" si="9"/>
        <v>23</v>
      </c>
      <c r="E95" s="145">
        <v>2</v>
      </c>
      <c r="F95" s="158"/>
      <c r="G95" s="145"/>
      <c r="H95" s="153"/>
      <c r="I95" s="154" t="s">
        <v>28</v>
      </c>
      <c r="J95" s="158"/>
      <c r="K95" s="145"/>
      <c r="L95" s="153"/>
      <c r="M95" s="158"/>
      <c r="N95" s="145"/>
      <c r="O95" s="153"/>
      <c r="P95" s="147"/>
      <c r="Q95" s="145"/>
      <c r="R95" s="154" t="s">
        <v>27</v>
      </c>
      <c r="S95" s="156"/>
      <c r="T95" s="155">
        <f aca="true" t="shared" si="10" ref="T95:T101">IF(Q95="","",IF(Q95&gt;S95,2,IF(Q95&lt;S95,0,1)))</f>
      </c>
      <c r="U95" s="154" t="s">
        <v>27</v>
      </c>
      <c r="V95" s="156">
        <f aca="true" t="shared" si="11" ref="V95:V101">IF(S95="","",IF(S95&gt;Q95,2,IF(S95&lt;Q95,0,1)))</f>
      </c>
      <c r="X95" s="154" t="s">
        <v>53</v>
      </c>
      <c r="Y95" s="154" t="s">
        <v>53</v>
      </c>
    </row>
    <row r="96" spans="2:25" ht="12.75" hidden="1" outlineLevel="1">
      <c r="B96" s="145"/>
      <c r="C96" s="145"/>
      <c r="D96" s="145">
        <f t="shared" si="9"/>
        <v>24</v>
      </c>
      <c r="E96" s="145">
        <v>3</v>
      </c>
      <c r="F96" s="151"/>
      <c r="G96" s="152"/>
      <c r="H96" s="153"/>
      <c r="I96" s="157" t="s">
        <v>28</v>
      </c>
      <c r="J96" s="151"/>
      <c r="K96" s="152"/>
      <c r="L96" s="153"/>
      <c r="M96" s="151"/>
      <c r="N96" s="152"/>
      <c r="O96" s="153"/>
      <c r="P96" s="147"/>
      <c r="Q96" s="145"/>
      <c r="R96" s="154" t="s">
        <v>27</v>
      </c>
      <c r="S96" s="156"/>
      <c r="T96" s="155">
        <f t="shared" si="10"/>
      </c>
      <c r="U96" s="154" t="s">
        <v>27</v>
      </c>
      <c r="V96" s="156">
        <f t="shared" si="11"/>
      </c>
      <c r="X96" s="154" t="s">
        <v>53</v>
      </c>
      <c r="Y96" s="154" t="s">
        <v>53</v>
      </c>
    </row>
    <row r="97" spans="2:25" ht="12.75" hidden="1" outlineLevel="1">
      <c r="B97" s="159"/>
      <c r="C97" s="159"/>
      <c r="D97" s="159">
        <f t="shared" si="9"/>
        <v>25</v>
      </c>
      <c r="E97" s="159">
        <v>4</v>
      </c>
      <c r="F97" s="160"/>
      <c r="G97" s="159"/>
      <c r="H97" s="161"/>
      <c r="I97" s="162" t="s">
        <v>28</v>
      </c>
      <c r="J97" s="160"/>
      <c r="K97" s="159"/>
      <c r="L97" s="161"/>
      <c r="M97" s="160"/>
      <c r="N97" s="159"/>
      <c r="O97" s="161"/>
      <c r="P97" s="163"/>
      <c r="Q97" s="159"/>
      <c r="R97" s="162" t="s">
        <v>27</v>
      </c>
      <c r="S97" s="165"/>
      <c r="T97" s="164">
        <f t="shared" si="10"/>
      </c>
      <c r="U97" s="162" t="s">
        <v>27</v>
      </c>
      <c r="V97" s="165">
        <f t="shared" si="11"/>
      </c>
      <c r="X97" s="162" t="s">
        <v>53</v>
      </c>
      <c r="Y97" s="162" t="s">
        <v>53</v>
      </c>
    </row>
    <row r="98" spans="2:25" ht="12.75" hidden="1" outlineLevel="1">
      <c r="B98" s="145"/>
      <c r="C98" s="150"/>
      <c r="D98" s="145">
        <f t="shared" si="9"/>
        <v>26</v>
      </c>
      <c r="E98" s="145">
        <v>1</v>
      </c>
      <c r="F98" s="158"/>
      <c r="G98" s="145"/>
      <c r="H98" s="153"/>
      <c r="I98" s="154" t="s">
        <v>28</v>
      </c>
      <c r="J98" s="158"/>
      <c r="K98" s="145"/>
      <c r="L98" s="153"/>
      <c r="M98" s="158"/>
      <c r="N98" s="145"/>
      <c r="O98" s="153"/>
      <c r="P98" s="147"/>
      <c r="Q98" s="145"/>
      <c r="R98" s="154" t="s">
        <v>27</v>
      </c>
      <c r="S98" s="156"/>
      <c r="T98" s="155">
        <f t="shared" si="10"/>
      </c>
      <c r="U98" s="154" t="s">
        <v>27</v>
      </c>
      <c r="V98" s="156">
        <f t="shared" si="11"/>
      </c>
      <c r="X98" s="154" t="s">
        <v>53</v>
      </c>
      <c r="Y98" s="154" t="s">
        <v>53</v>
      </c>
    </row>
    <row r="99" spans="2:25" ht="12.75" hidden="1" outlineLevel="1">
      <c r="B99" s="145"/>
      <c r="C99" s="145"/>
      <c r="D99" s="145">
        <f t="shared" si="9"/>
        <v>27</v>
      </c>
      <c r="E99" s="145">
        <v>2</v>
      </c>
      <c r="F99" s="158"/>
      <c r="G99" s="145"/>
      <c r="H99" s="153"/>
      <c r="I99" s="154" t="s">
        <v>28</v>
      </c>
      <c r="J99" s="158"/>
      <c r="K99" s="145"/>
      <c r="L99" s="153"/>
      <c r="M99" s="158"/>
      <c r="N99" s="145"/>
      <c r="O99" s="153"/>
      <c r="P99" s="147"/>
      <c r="Q99" s="145"/>
      <c r="R99" s="154" t="s">
        <v>27</v>
      </c>
      <c r="S99" s="156"/>
      <c r="T99" s="155">
        <f t="shared" si="10"/>
      </c>
      <c r="U99" s="154" t="s">
        <v>27</v>
      </c>
      <c r="V99" s="156">
        <f t="shared" si="11"/>
      </c>
      <c r="X99" s="154" t="s">
        <v>53</v>
      </c>
      <c r="Y99" s="154" t="s">
        <v>53</v>
      </c>
    </row>
    <row r="100" spans="2:25" ht="12.75" hidden="1" outlineLevel="1">
      <c r="B100" s="145"/>
      <c r="C100" s="145"/>
      <c r="D100" s="145">
        <f t="shared" si="9"/>
        <v>28</v>
      </c>
      <c r="E100" s="145">
        <v>3</v>
      </c>
      <c r="F100" s="158"/>
      <c r="G100" s="145"/>
      <c r="H100" s="153"/>
      <c r="I100" s="157" t="s">
        <v>28</v>
      </c>
      <c r="J100" s="158"/>
      <c r="K100" s="145"/>
      <c r="L100" s="153"/>
      <c r="M100" s="158"/>
      <c r="N100" s="145"/>
      <c r="O100" s="153"/>
      <c r="P100" s="147"/>
      <c r="Q100" s="145"/>
      <c r="R100" s="154" t="s">
        <v>27</v>
      </c>
      <c r="S100" s="156"/>
      <c r="T100" s="155">
        <f t="shared" si="10"/>
      </c>
      <c r="U100" s="154" t="s">
        <v>27</v>
      </c>
      <c r="V100" s="156">
        <f t="shared" si="11"/>
      </c>
      <c r="X100" s="154" t="s">
        <v>53</v>
      </c>
      <c r="Y100" s="154" t="s">
        <v>53</v>
      </c>
    </row>
    <row r="101" spans="2:25" ht="12.75" hidden="1" outlineLevel="1">
      <c r="B101" s="159"/>
      <c r="C101" s="159"/>
      <c r="D101" s="159">
        <f t="shared" si="9"/>
        <v>29</v>
      </c>
      <c r="E101" s="159">
        <v>4</v>
      </c>
      <c r="F101" s="160"/>
      <c r="G101" s="159"/>
      <c r="H101" s="161"/>
      <c r="I101" s="162" t="s">
        <v>28</v>
      </c>
      <c r="J101" s="160"/>
      <c r="K101" s="159"/>
      <c r="L101" s="161"/>
      <c r="M101" s="160"/>
      <c r="N101" s="159"/>
      <c r="O101" s="161"/>
      <c r="P101" s="163"/>
      <c r="Q101" s="159"/>
      <c r="R101" s="162" t="s">
        <v>27</v>
      </c>
      <c r="S101" s="165"/>
      <c r="T101" s="164">
        <f t="shared" si="10"/>
      </c>
      <c r="U101" s="162" t="s">
        <v>27</v>
      </c>
      <c r="V101" s="165">
        <f t="shared" si="11"/>
      </c>
      <c r="X101" s="162" t="s">
        <v>53</v>
      </c>
      <c r="Y101" s="162" t="s">
        <v>53</v>
      </c>
    </row>
    <row r="102" ht="12.75" collapsed="1">
      <c r="S102" s="184"/>
    </row>
    <row r="103" ht="12.75">
      <c r="S103" s="184"/>
    </row>
    <row r="104" ht="12.75">
      <c r="S104" s="184"/>
    </row>
    <row r="105" ht="12.75">
      <c r="S105" s="184"/>
    </row>
    <row r="106" ht="12.75">
      <c r="S106" s="184"/>
    </row>
    <row r="107" ht="12.75">
      <c r="S107" s="184"/>
    </row>
  </sheetData>
  <printOptions horizontalCentered="1" verticalCentered="1"/>
  <pageMargins left="0.3937007874015748" right="0.15748031496062992" top="0.3937007874015748" bottom="0.3937007874015748" header="0.5118110236220472" footer="0.31496062992125984"/>
  <pageSetup horizontalDpi="300" verticalDpi="300" orientation="portrait" paperSize="9" r:id="rId3"/>
  <headerFooter alignWithMargins="0">
    <oddFooter>&amp;R&amp;6&amp;D; &amp;F, &amp;A</oddFooter>
  </headerFooter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zoomScale="75" zoomScaleNormal="75" workbookViewId="0" topLeftCell="A1">
      <selection activeCell="I21" sqref="I21"/>
    </sheetView>
  </sheetViews>
  <sheetFormatPr defaultColWidth="11.421875" defaultRowHeight="12.75"/>
  <cols>
    <col min="1" max="1" width="15.7109375" style="144" customWidth="1"/>
    <col min="2" max="2" width="3.00390625" style="144" customWidth="1"/>
    <col min="3" max="3" width="15.7109375" style="144" customWidth="1"/>
    <col min="4" max="4" width="3.00390625" style="144" customWidth="1"/>
    <col min="5" max="5" width="15.7109375" style="144" customWidth="1"/>
    <col min="6" max="6" width="3.00390625" style="144" customWidth="1"/>
    <col min="7" max="7" width="15.7109375" style="144" customWidth="1"/>
    <col min="8" max="8" width="3.00390625" style="144" customWidth="1"/>
    <col min="9" max="9" width="15.7109375" style="144" customWidth="1"/>
    <col min="10" max="10" width="3.00390625" style="144" customWidth="1"/>
    <col min="11" max="11" width="15.7109375" style="144" customWidth="1"/>
    <col min="12" max="12" width="3.00390625" style="144" customWidth="1"/>
    <col min="13" max="13" width="15.7109375" style="144" customWidth="1"/>
    <col min="14" max="14" width="3.00390625" style="144" customWidth="1"/>
    <col min="15" max="15" width="15.7109375" style="144" customWidth="1"/>
    <col min="16" max="16" width="3.00390625" style="144" customWidth="1"/>
    <col min="17" max="17" width="15.7109375" style="144" customWidth="1"/>
    <col min="18" max="18" width="3.00390625" style="144" customWidth="1"/>
    <col min="19" max="19" width="15.7109375" style="144" customWidth="1"/>
    <col min="20" max="20" width="3.00390625" style="144" customWidth="1"/>
    <col min="21" max="21" width="15.7109375" style="144" customWidth="1"/>
    <col min="22" max="22" width="3.00390625" style="144" customWidth="1"/>
    <col min="23" max="23" width="15.7109375" style="144" customWidth="1"/>
    <col min="24" max="24" width="3.00390625" style="144" customWidth="1"/>
    <col min="25" max="16384" width="11.421875" style="144" customWidth="1"/>
  </cols>
  <sheetData>
    <row r="2" spans="3:22" s="207" customFormat="1" ht="20.25">
      <c r="C2" s="236" t="str">
        <f>+Daten!A1&amp;" "&amp;Daten!B1&amp;" "&amp;Daten!L1&amp;",      Ausrichter: "&amp;Daten!A34</f>
        <v>43. Deutsche Prellball Meisterschaften der Seniorinnen und Senioren 2006,      Ausrichter: TSV Burgdorf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5" spans="1:24" ht="13.5" thickBot="1">
      <c r="A5" s="233" t="s">
        <v>112</v>
      </c>
      <c r="B5" s="234"/>
      <c r="C5" s="234"/>
      <c r="D5" s="234"/>
      <c r="E5" s="234"/>
      <c r="F5" s="234"/>
      <c r="G5" s="234"/>
      <c r="H5" s="235"/>
      <c r="I5" s="233" t="s">
        <v>113</v>
      </c>
      <c r="J5" s="234"/>
      <c r="K5" s="234"/>
      <c r="L5" s="234"/>
      <c r="M5" s="234"/>
      <c r="N5" s="234"/>
      <c r="O5" s="234"/>
      <c r="P5" s="235"/>
      <c r="Q5" s="233" t="s">
        <v>114</v>
      </c>
      <c r="R5" s="234"/>
      <c r="S5" s="234"/>
      <c r="T5" s="234"/>
      <c r="U5" s="234"/>
      <c r="V5" s="234"/>
      <c r="W5" s="234"/>
      <c r="X5" s="235"/>
    </row>
    <row r="6" spans="1:24" ht="12.75">
      <c r="A6" s="224" t="s">
        <v>9</v>
      </c>
      <c r="B6" s="177"/>
      <c r="G6" s="166"/>
      <c r="H6" s="208"/>
      <c r="I6" s="224" t="s">
        <v>9</v>
      </c>
      <c r="O6" s="166"/>
      <c r="P6" s="208"/>
      <c r="Q6" s="224" t="s">
        <v>9</v>
      </c>
      <c r="W6" s="166"/>
      <c r="X6" s="209"/>
    </row>
    <row r="7" spans="1:24" ht="12.75">
      <c r="A7" s="225" t="s">
        <v>61</v>
      </c>
      <c r="B7" s="210" t="s">
        <v>118</v>
      </c>
      <c r="C7" s="225" t="s">
        <v>65</v>
      </c>
      <c r="D7" s="210" t="s">
        <v>119</v>
      </c>
      <c r="E7" s="225" t="s">
        <v>62</v>
      </c>
      <c r="F7" s="210" t="s">
        <v>120</v>
      </c>
      <c r="G7" s="226" t="s">
        <v>115</v>
      </c>
      <c r="H7" s="211" t="s">
        <v>121</v>
      </c>
      <c r="I7" s="225" t="s">
        <v>59</v>
      </c>
      <c r="J7" s="210" t="s">
        <v>122</v>
      </c>
      <c r="K7" s="225" t="s">
        <v>64</v>
      </c>
      <c r="L7" s="210" t="s">
        <v>123</v>
      </c>
      <c r="M7" s="225" t="s">
        <v>60</v>
      </c>
      <c r="N7" s="210" t="s">
        <v>124</v>
      </c>
      <c r="O7" s="226" t="s">
        <v>116</v>
      </c>
      <c r="P7" s="211" t="s">
        <v>125</v>
      </c>
      <c r="Q7" s="225" t="s">
        <v>77</v>
      </c>
      <c r="R7" s="212" t="s">
        <v>126</v>
      </c>
      <c r="S7" s="225" t="s">
        <v>63</v>
      </c>
      <c r="T7" s="210" t="s">
        <v>127</v>
      </c>
      <c r="U7" s="225" t="s">
        <v>78</v>
      </c>
      <c r="V7" s="210" t="s">
        <v>128</v>
      </c>
      <c r="W7" s="226" t="s">
        <v>81</v>
      </c>
      <c r="X7" s="218" t="s">
        <v>129</v>
      </c>
    </row>
    <row r="8" spans="1:24" ht="12.75">
      <c r="A8" s="144" t="s">
        <v>153</v>
      </c>
      <c r="B8" s="145" t="s">
        <v>136</v>
      </c>
      <c r="C8" s="144" t="s">
        <v>154</v>
      </c>
      <c r="D8" s="219" t="s">
        <v>137</v>
      </c>
      <c r="E8" s="220" t="s">
        <v>152</v>
      </c>
      <c r="F8" s="219" t="s">
        <v>138</v>
      </c>
      <c r="G8" s="221" t="s">
        <v>155</v>
      </c>
      <c r="H8" s="222" t="s">
        <v>139</v>
      </c>
      <c r="I8" s="144" t="s">
        <v>174</v>
      </c>
      <c r="J8" s="145" t="s">
        <v>135</v>
      </c>
      <c r="K8" s="144" t="s">
        <v>175</v>
      </c>
      <c r="L8" s="145" t="s">
        <v>140</v>
      </c>
      <c r="M8" s="144" t="s">
        <v>184</v>
      </c>
      <c r="N8" s="145" t="s">
        <v>141</v>
      </c>
      <c r="O8" s="144" t="s">
        <v>116</v>
      </c>
      <c r="P8" s="213" t="s">
        <v>142</v>
      </c>
      <c r="Q8" s="144" t="s">
        <v>187</v>
      </c>
      <c r="R8" s="145" t="s">
        <v>146</v>
      </c>
      <c r="S8" s="144" t="s">
        <v>173</v>
      </c>
      <c r="T8" s="145" t="s">
        <v>144</v>
      </c>
      <c r="U8" s="144" t="s">
        <v>78</v>
      </c>
      <c r="V8" s="145" t="s">
        <v>145</v>
      </c>
      <c r="W8" s="144" t="s">
        <v>81</v>
      </c>
      <c r="X8" s="213" t="s">
        <v>143</v>
      </c>
    </row>
    <row r="9" spans="7:24" ht="12.75">
      <c r="G9" s="166"/>
      <c r="H9" s="208"/>
      <c r="I9" s="145"/>
      <c r="J9" s="145"/>
      <c r="O9" s="166"/>
      <c r="P9" s="208"/>
      <c r="W9" s="166"/>
      <c r="X9" s="208"/>
    </row>
    <row r="10" spans="1:24" ht="12.75">
      <c r="A10" s="224" t="s">
        <v>2</v>
      </c>
      <c r="G10" s="166"/>
      <c r="H10" s="208"/>
      <c r="I10" s="224" t="s">
        <v>2</v>
      </c>
      <c r="O10" s="166"/>
      <c r="P10" s="208"/>
      <c r="Q10" s="224" t="s">
        <v>2</v>
      </c>
      <c r="W10" s="166"/>
      <c r="X10" s="208"/>
    </row>
    <row r="11" spans="1:24" ht="12.75">
      <c r="A11" s="225" t="s">
        <v>61</v>
      </c>
      <c r="B11" s="210" t="s">
        <v>118</v>
      </c>
      <c r="C11" s="225" t="s">
        <v>65</v>
      </c>
      <c r="D11" s="210" t="s">
        <v>119</v>
      </c>
      <c r="E11" s="225" t="s">
        <v>62</v>
      </c>
      <c r="F11" s="210" t="s">
        <v>120</v>
      </c>
      <c r="G11" s="226" t="s">
        <v>115</v>
      </c>
      <c r="H11" s="211" t="s">
        <v>121</v>
      </c>
      <c r="I11" s="225" t="s">
        <v>59</v>
      </c>
      <c r="J11" s="210" t="s">
        <v>122</v>
      </c>
      <c r="K11" s="225" t="s">
        <v>64</v>
      </c>
      <c r="L11" s="210" t="s">
        <v>123</v>
      </c>
      <c r="M11" s="225" t="s">
        <v>60</v>
      </c>
      <c r="N11" s="210" t="s">
        <v>124</v>
      </c>
      <c r="O11" s="226" t="s">
        <v>116</v>
      </c>
      <c r="P11" s="211" t="s">
        <v>125</v>
      </c>
      <c r="Q11" s="225" t="s">
        <v>77</v>
      </c>
      <c r="R11" s="212" t="s">
        <v>126</v>
      </c>
      <c r="S11" s="225" t="s">
        <v>63</v>
      </c>
      <c r="T11" s="210" t="s">
        <v>127</v>
      </c>
      <c r="U11" s="225" t="s">
        <v>78</v>
      </c>
      <c r="V11" s="210" t="s">
        <v>128</v>
      </c>
      <c r="W11" s="226" t="s">
        <v>81</v>
      </c>
      <c r="X11" s="218" t="s">
        <v>129</v>
      </c>
    </row>
    <row r="12" spans="1:24" ht="12.75">
      <c r="A12" s="144" t="s">
        <v>156</v>
      </c>
      <c r="B12" s="145" t="s">
        <v>136</v>
      </c>
      <c r="C12" s="144" t="s">
        <v>157</v>
      </c>
      <c r="D12" s="219" t="s">
        <v>137</v>
      </c>
      <c r="E12" s="220" t="s">
        <v>158</v>
      </c>
      <c r="F12" s="219" t="s">
        <v>138</v>
      </c>
      <c r="G12" s="221" t="s">
        <v>159</v>
      </c>
      <c r="H12" s="222" t="s">
        <v>139</v>
      </c>
      <c r="I12" s="144" t="s">
        <v>176</v>
      </c>
      <c r="J12" s="145" t="s">
        <v>135</v>
      </c>
      <c r="K12" s="144" t="s">
        <v>177</v>
      </c>
      <c r="L12" s="145" t="s">
        <v>140</v>
      </c>
      <c r="M12" s="144" t="s">
        <v>178</v>
      </c>
      <c r="N12" s="145" t="s">
        <v>141</v>
      </c>
      <c r="O12" s="144" t="s">
        <v>116</v>
      </c>
      <c r="P12" s="213" t="s">
        <v>142</v>
      </c>
      <c r="Q12" s="144" t="s">
        <v>188</v>
      </c>
      <c r="R12" s="145" t="s">
        <v>146</v>
      </c>
      <c r="S12" s="144" t="s">
        <v>189</v>
      </c>
      <c r="T12" s="145" t="s">
        <v>144</v>
      </c>
      <c r="U12" s="144" t="s">
        <v>190</v>
      </c>
      <c r="V12" s="145" t="s">
        <v>145</v>
      </c>
      <c r="W12" s="144" t="s">
        <v>167</v>
      </c>
      <c r="X12" s="213" t="s">
        <v>143</v>
      </c>
    </row>
    <row r="13" spans="7:24" ht="12.75">
      <c r="G13" s="166"/>
      <c r="H13" s="208"/>
      <c r="P13" s="208"/>
      <c r="X13" s="208"/>
    </row>
    <row r="14" spans="1:24" ht="12.75">
      <c r="A14" s="224" t="s">
        <v>1</v>
      </c>
      <c r="H14" s="208"/>
      <c r="I14" s="224" t="s">
        <v>1</v>
      </c>
      <c r="P14" s="208"/>
      <c r="Q14" s="224" t="s">
        <v>1</v>
      </c>
      <c r="U14" s="220"/>
      <c r="X14" s="208"/>
    </row>
    <row r="15" spans="1:24" ht="12.75">
      <c r="A15" s="225" t="s">
        <v>61</v>
      </c>
      <c r="B15" s="210" t="s">
        <v>118</v>
      </c>
      <c r="C15" s="225" t="s">
        <v>65</v>
      </c>
      <c r="D15" s="210" t="s">
        <v>119</v>
      </c>
      <c r="E15" s="225" t="s">
        <v>62</v>
      </c>
      <c r="F15" s="210" t="s">
        <v>120</v>
      </c>
      <c r="G15" s="226" t="s">
        <v>115</v>
      </c>
      <c r="H15" s="211" t="s">
        <v>121</v>
      </c>
      <c r="I15" s="225" t="s">
        <v>59</v>
      </c>
      <c r="J15" s="210" t="s">
        <v>122</v>
      </c>
      <c r="K15" s="225" t="s">
        <v>64</v>
      </c>
      <c r="L15" s="210" t="s">
        <v>123</v>
      </c>
      <c r="M15" s="225" t="s">
        <v>60</v>
      </c>
      <c r="N15" s="210" t="s">
        <v>124</v>
      </c>
      <c r="O15" s="226" t="s">
        <v>116</v>
      </c>
      <c r="P15" s="211" t="s">
        <v>125</v>
      </c>
      <c r="Q15" s="225" t="s">
        <v>77</v>
      </c>
      <c r="R15" s="212" t="s">
        <v>126</v>
      </c>
      <c r="S15" s="225" t="s">
        <v>63</v>
      </c>
      <c r="T15" s="210" t="s">
        <v>127</v>
      </c>
      <c r="U15" s="225" t="s">
        <v>78</v>
      </c>
      <c r="V15" s="210" t="s">
        <v>128</v>
      </c>
      <c r="W15" s="226" t="s">
        <v>81</v>
      </c>
      <c r="X15" s="218" t="s">
        <v>129</v>
      </c>
    </row>
    <row r="16" spans="1:24" ht="12.75">
      <c r="A16" s="144" t="s">
        <v>155</v>
      </c>
      <c r="B16" s="145" t="s">
        <v>136</v>
      </c>
      <c r="C16" s="144" t="s">
        <v>160</v>
      </c>
      <c r="D16" s="219" t="s">
        <v>137</v>
      </c>
      <c r="E16" s="220" t="s">
        <v>161</v>
      </c>
      <c r="F16" s="219" t="s">
        <v>138</v>
      </c>
      <c r="G16" s="221" t="s">
        <v>162</v>
      </c>
      <c r="H16" s="222" t="s">
        <v>139</v>
      </c>
      <c r="I16" s="144" t="s">
        <v>179</v>
      </c>
      <c r="J16" s="145" t="s">
        <v>135</v>
      </c>
      <c r="K16" s="144" t="s">
        <v>180</v>
      </c>
      <c r="L16" s="145" t="s">
        <v>140</v>
      </c>
      <c r="M16" s="144" t="s">
        <v>181</v>
      </c>
      <c r="N16" s="145" t="s">
        <v>141</v>
      </c>
      <c r="O16" s="144" t="s">
        <v>116</v>
      </c>
      <c r="P16" s="213" t="s">
        <v>142</v>
      </c>
      <c r="Q16" s="144" t="s">
        <v>165</v>
      </c>
      <c r="R16" s="145" t="s">
        <v>146</v>
      </c>
      <c r="S16" s="144" t="s">
        <v>173</v>
      </c>
      <c r="T16" s="145" t="s">
        <v>144</v>
      </c>
      <c r="U16" s="144" t="s">
        <v>191</v>
      </c>
      <c r="V16" s="145" t="s">
        <v>145</v>
      </c>
      <c r="W16" s="144" t="s">
        <v>166</v>
      </c>
      <c r="X16" s="213" t="s">
        <v>143</v>
      </c>
    </row>
    <row r="17" spans="8:24" ht="12.75">
      <c r="H17" s="208"/>
      <c r="P17" s="208"/>
      <c r="X17" s="208"/>
    </row>
    <row r="18" spans="1:24" ht="12.75">
      <c r="A18" s="224" t="s">
        <v>8</v>
      </c>
      <c r="H18" s="208"/>
      <c r="I18" s="224" t="s">
        <v>8</v>
      </c>
      <c r="P18" s="208"/>
      <c r="Q18" s="224" t="s">
        <v>8</v>
      </c>
      <c r="X18" s="208"/>
    </row>
    <row r="19" spans="1:24" ht="12.75">
      <c r="A19" s="225" t="s">
        <v>61</v>
      </c>
      <c r="B19" s="210" t="s">
        <v>118</v>
      </c>
      <c r="C19" s="225" t="s">
        <v>65</v>
      </c>
      <c r="D19" s="210" t="s">
        <v>119</v>
      </c>
      <c r="E19" s="225" t="s">
        <v>62</v>
      </c>
      <c r="F19" s="210" t="s">
        <v>120</v>
      </c>
      <c r="G19" s="226" t="s">
        <v>115</v>
      </c>
      <c r="H19" s="211" t="s">
        <v>121</v>
      </c>
      <c r="I19" s="225" t="s">
        <v>59</v>
      </c>
      <c r="J19" s="210" t="s">
        <v>122</v>
      </c>
      <c r="K19" s="225" t="s">
        <v>64</v>
      </c>
      <c r="L19" s="210" t="s">
        <v>123</v>
      </c>
      <c r="M19" s="225" t="s">
        <v>60</v>
      </c>
      <c r="N19" s="210" t="s">
        <v>124</v>
      </c>
      <c r="O19" s="226" t="s">
        <v>116</v>
      </c>
      <c r="P19" s="211" t="s">
        <v>125</v>
      </c>
      <c r="Q19" s="225" t="s">
        <v>77</v>
      </c>
      <c r="R19" s="212" t="s">
        <v>126</v>
      </c>
      <c r="S19" s="225" t="s">
        <v>63</v>
      </c>
      <c r="T19" s="210" t="s">
        <v>127</v>
      </c>
      <c r="U19" s="225" t="s">
        <v>78</v>
      </c>
      <c r="V19" s="210" t="s">
        <v>128</v>
      </c>
      <c r="W19" s="226" t="s">
        <v>81</v>
      </c>
      <c r="X19" s="218" t="s">
        <v>129</v>
      </c>
    </row>
    <row r="20" spans="1:24" ht="12.75">
      <c r="A20" s="144" t="s">
        <v>150</v>
      </c>
      <c r="B20" s="145" t="s">
        <v>136</v>
      </c>
      <c r="C20" s="144" t="s">
        <v>151</v>
      </c>
      <c r="D20" s="219" t="s">
        <v>137</v>
      </c>
      <c r="E20" s="220" t="s">
        <v>152</v>
      </c>
      <c r="F20" s="219" t="s">
        <v>138</v>
      </c>
      <c r="G20" s="221" t="s">
        <v>74</v>
      </c>
      <c r="H20" s="222" t="s">
        <v>134</v>
      </c>
      <c r="I20" s="144" t="s">
        <v>178</v>
      </c>
      <c r="J20" s="145" t="s">
        <v>135</v>
      </c>
      <c r="K20" s="144" t="s">
        <v>182</v>
      </c>
      <c r="L20" s="145" t="s">
        <v>140</v>
      </c>
      <c r="M20" s="144" t="s">
        <v>183</v>
      </c>
      <c r="N20" s="145" t="s">
        <v>141</v>
      </c>
      <c r="O20" s="144" t="s">
        <v>116</v>
      </c>
      <c r="P20" s="213" t="s">
        <v>142</v>
      </c>
      <c r="Q20" s="144" t="s">
        <v>190</v>
      </c>
      <c r="R20" s="145" t="s">
        <v>146</v>
      </c>
      <c r="S20" s="144" t="s">
        <v>192</v>
      </c>
      <c r="T20" s="145" t="s">
        <v>144</v>
      </c>
      <c r="U20" s="144" t="s">
        <v>193</v>
      </c>
      <c r="V20" s="145" t="s">
        <v>145</v>
      </c>
      <c r="W20" s="144" t="s">
        <v>168</v>
      </c>
      <c r="X20" s="213" t="s">
        <v>143</v>
      </c>
    </row>
    <row r="21" spans="8:24" ht="12.75">
      <c r="H21" s="208"/>
      <c r="P21" s="208"/>
      <c r="X21" s="208"/>
    </row>
    <row r="22" spans="1:24" ht="12.75">
      <c r="A22" s="224" t="s">
        <v>14</v>
      </c>
      <c r="H22" s="208"/>
      <c r="I22" s="224" t="s">
        <v>14</v>
      </c>
      <c r="P22" s="208"/>
      <c r="Q22" s="224" t="s">
        <v>14</v>
      </c>
      <c r="X22" s="208"/>
    </row>
    <row r="23" spans="1:24" ht="12.75">
      <c r="A23" s="225" t="s">
        <v>61</v>
      </c>
      <c r="B23" s="210" t="s">
        <v>118</v>
      </c>
      <c r="C23" s="225" t="s">
        <v>65</v>
      </c>
      <c r="D23" s="210" t="s">
        <v>119</v>
      </c>
      <c r="E23" s="225" t="s">
        <v>62</v>
      </c>
      <c r="F23" s="210" t="s">
        <v>120</v>
      </c>
      <c r="G23" s="226" t="s">
        <v>115</v>
      </c>
      <c r="H23" s="211" t="s">
        <v>121</v>
      </c>
      <c r="I23" s="225" t="s">
        <v>59</v>
      </c>
      <c r="J23" s="210" t="s">
        <v>122</v>
      </c>
      <c r="K23" s="225" t="s">
        <v>64</v>
      </c>
      <c r="L23" s="210" t="s">
        <v>123</v>
      </c>
      <c r="M23" s="225" t="s">
        <v>60</v>
      </c>
      <c r="N23" s="210" t="s">
        <v>124</v>
      </c>
      <c r="O23" s="226" t="s">
        <v>116</v>
      </c>
      <c r="P23" s="211" t="s">
        <v>125</v>
      </c>
      <c r="Q23" s="225" t="s">
        <v>77</v>
      </c>
      <c r="R23" s="212" t="s">
        <v>126</v>
      </c>
      <c r="S23" s="225" t="s">
        <v>63</v>
      </c>
      <c r="T23" s="210" t="s">
        <v>127</v>
      </c>
      <c r="U23" s="225" t="s">
        <v>78</v>
      </c>
      <c r="V23" s="210" t="s">
        <v>128</v>
      </c>
      <c r="W23" s="226" t="s">
        <v>81</v>
      </c>
      <c r="X23" s="218" t="s">
        <v>129</v>
      </c>
    </row>
    <row r="24" spans="1:24" ht="12.75">
      <c r="A24" s="144" t="s">
        <v>160</v>
      </c>
      <c r="B24" s="145" t="s">
        <v>136</v>
      </c>
      <c r="C24" s="144" t="s">
        <v>150</v>
      </c>
      <c r="D24" s="219" t="s">
        <v>137</v>
      </c>
      <c r="E24" s="220" t="s">
        <v>151</v>
      </c>
      <c r="F24" s="219" t="s">
        <v>138</v>
      </c>
      <c r="G24" s="221" t="s">
        <v>163</v>
      </c>
      <c r="H24" s="222" t="s">
        <v>139</v>
      </c>
      <c r="I24" s="144" t="s">
        <v>179</v>
      </c>
      <c r="J24" s="145" t="s">
        <v>135</v>
      </c>
      <c r="K24" s="144" t="s">
        <v>182</v>
      </c>
      <c r="L24" s="145" t="s">
        <v>140</v>
      </c>
      <c r="M24" s="144" t="s">
        <v>174</v>
      </c>
      <c r="N24" s="145" t="s">
        <v>141</v>
      </c>
      <c r="O24" s="144" t="s">
        <v>116</v>
      </c>
      <c r="P24" s="213" t="s">
        <v>142</v>
      </c>
      <c r="Q24" s="144" t="s">
        <v>169</v>
      </c>
      <c r="R24" s="145" t="s">
        <v>146</v>
      </c>
      <c r="S24" s="144" t="s">
        <v>170</v>
      </c>
      <c r="T24" s="145" t="s">
        <v>144</v>
      </c>
      <c r="U24" s="144" t="s">
        <v>171</v>
      </c>
      <c r="V24" s="145" t="s">
        <v>145</v>
      </c>
      <c r="W24" s="144" t="s">
        <v>172</v>
      </c>
      <c r="X24" s="213" t="s">
        <v>143</v>
      </c>
    </row>
    <row r="25" spans="8:24" ht="12.75">
      <c r="H25" s="208"/>
      <c r="P25" s="208"/>
      <c r="X25" s="208"/>
    </row>
    <row r="26" spans="1:24" ht="12.75">
      <c r="A26" s="224" t="s">
        <v>66</v>
      </c>
      <c r="H26" s="208"/>
      <c r="I26" s="224" t="s">
        <v>66</v>
      </c>
      <c r="P26" s="208"/>
      <c r="Q26" s="224" t="s">
        <v>66</v>
      </c>
      <c r="X26" s="208"/>
    </row>
    <row r="27" spans="1:24" ht="12.75">
      <c r="A27" s="225" t="s">
        <v>61</v>
      </c>
      <c r="B27" s="210" t="s">
        <v>118</v>
      </c>
      <c r="C27" s="225" t="s">
        <v>65</v>
      </c>
      <c r="D27" s="210" t="s">
        <v>119</v>
      </c>
      <c r="E27" s="225" t="s">
        <v>62</v>
      </c>
      <c r="F27" s="210" t="s">
        <v>120</v>
      </c>
      <c r="G27" s="226" t="s">
        <v>115</v>
      </c>
      <c r="H27" s="211" t="s">
        <v>121</v>
      </c>
      <c r="I27" s="225" t="s">
        <v>59</v>
      </c>
      <c r="J27" s="210" t="s">
        <v>122</v>
      </c>
      <c r="K27" s="225" t="s">
        <v>64</v>
      </c>
      <c r="L27" s="210" t="s">
        <v>123</v>
      </c>
      <c r="M27" s="225" t="s">
        <v>60</v>
      </c>
      <c r="N27" s="210" t="s">
        <v>124</v>
      </c>
      <c r="O27" s="226" t="s">
        <v>116</v>
      </c>
      <c r="P27" s="211" t="s">
        <v>125</v>
      </c>
      <c r="Q27" s="225" t="s">
        <v>77</v>
      </c>
      <c r="R27" s="212" t="s">
        <v>126</v>
      </c>
      <c r="S27" s="225" t="s">
        <v>63</v>
      </c>
      <c r="T27" s="210" t="s">
        <v>127</v>
      </c>
      <c r="U27" s="225" t="s">
        <v>78</v>
      </c>
      <c r="V27" s="210" t="s">
        <v>128</v>
      </c>
      <c r="W27" s="226" t="s">
        <v>81</v>
      </c>
      <c r="X27" s="218" t="s">
        <v>129</v>
      </c>
    </row>
    <row r="28" spans="1:24" ht="12.75">
      <c r="A28" s="144" t="s">
        <v>160</v>
      </c>
      <c r="B28" s="145" t="s">
        <v>136</v>
      </c>
      <c r="C28" s="144" t="s">
        <v>164</v>
      </c>
      <c r="D28" s="219" t="s">
        <v>137</v>
      </c>
      <c r="E28" s="220" t="s">
        <v>74</v>
      </c>
      <c r="F28" s="219" t="s">
        <v>138</v>
      </c>
      <c r="G28" s="221" t="s">
        <v>159</v>
      </c>
      <c r="H28" s="222" t="s">
        <v>139</v>
      </c>
      <c r="I28" s="144" t="s">
        <v>185</v>
      </c>
      <c r="J28" s="145" t="s">
        <v>135</v>
      </c>
      <c r="K28" s="144" t="s">
        <v>186</v>
      </c>
      <c r="L28" s="145" t="s">
        <v>140</v>
      </c>
      <c r="M28" s="144" t="s">
        <v>197</v>
      </c>
      <c r="N28" s="145" t="s">
        <v>141</v>
      </c>
      <c r="O28" s="144" t="s">
        <v>116</v>
      </c>
      <c r="P28" s="213" t="s">
        <v>142</v>
      </c>
      <c r="Q28" s="144" t="s">
        <v>194</v>
      </c>
      <c r="R28" s="145" t="s">
        <v>146</v>
      </c>
      <c r="S28" s="144" t="s">
        <v>195</v>
      </c>
      <c r="T28" s="145" t="s">
        <v>144</v>
      </c>
      <c r="U28" s="144" t="s">
        <v>196</v>
      </c>
      <c r="V28" s="145" t="s">
        <v>145</v>
      </c>
      <c r="W28" s="144" t="s">
        <v>197</v>
      </c>
      <c r="X28" s="213" t="s">
        <v>143</v>
      </c>
    </row>
    <row r="29" spans="8:24" ht="12.75">
      <c r="H29" s="208"/>
      <c r="P29" s="208"/>
      <c r="X29" s="208"/>
    </row>
  </sheetData>
  <mergeCells count="4">
    <mergeCell ref="A5:H5"/>
    <mergeCell ref="I5:P5"/>
    <mergeCell ref="Q5:X5"/>
    <mergeCell ref="C2:V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0" r:id="rId1"/>
  <headerFooter alignWithMargins="0">
    <oddFooter>&amp;C&amp;8&amp;F;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75" zoomScaleNormal="75" workbookViewId="0" topLeftCell="A1">
      <selection activeCell="I17" sqref="I17"/>
    </sheetView>
  </sheetViews>
  <sheetFormatPr defaultColWidth="11.421875" defaultRowHeight="12.75"/>
  <cols>
    <col min="1" max="1" width="3.28125" style="2" customWidth="1"/>
    <col min="2" max="2" width="4.28125" style="2" customWidth="1"/>
    <col min="3" max="3" width="18.28125" style="2" customWidth="1"/>
    <col min="4" max="4" width="2.7109375" style="2" customWidth="1"/>
    <col min="5" max="5" width="4.28125" style="2" customWidth="1"/>
    <col min="6" max="6" width="18.28125" style="2" customWidth="1"/>
    <col min="7" max="7" width="2.7109375" style="2" customWidth="1"/>
    <col min="8" max="8" width="4.28125" style="2" customWidth="1"/>
    <col min="9" max="9" width="18.28125" style="2" customWidth="1"/>
    <col min="10" max="10" width="2.7109375" style="2" customWidth="1"/>
    <col min="11" max="11" width="4.28125" style="2" customWidth="1"/>
    <col min="12" max="12" width="18.28125" style="2" customWidth="1"/>
    <col min="13" max="13" width="4.140625" style="2" customWidth="1"/>
    <col min="14" max="16" width="8.7109375" style="2" customWidth="1"/>
    <col min="17" max="16384" width="11.421875" style="2" customWidth="1"/>
  </cols>
  <sheetData>
    <row r="1" spans="1:19" ht="15.75">
      <c r="A1" s="124" t="s">
        <v>130</v>
      </c>
      <c r="B1" s="118" t="s">
        <v>0</v>
      </c>
      <c r="C1" s="112"/>
      <c r="D1" s="112"/>
      <c r="E1" s="112"/>
      <c r="F1" s="112"/>
      <c r="G1" s="112"/>
      <c r="H1" s="112"/>
      <c r="I1" s="112"/>
      <c r="J1" s="117"/>
      <c r="K1" s="112"/>
      <c r="L1" s="140">
        <v>2006</v>
      </c>
      <c r="M1" s="112"/>
      <c r="N1" s="112"/>
      <c r="O1" s="112"/>
      <c r="P1" s="112"/>
      <c r="Q1" s="112"/>
      <c r="R1" s="112"/>
      <c r="S1" s="112"/>
    </row>
    <row r="2" spans="1:19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12"/>
      <c r="O2" s="112"/>
      <c r="P2" s="112"/>
      <c r="Q2" s="112"/>
      <c r="R2" s="112"/>
      <c r="S2" s="112"/>
    </row>
    <row r="3" spans="1:19" ht="12.75">
      <c r="A3" s="111"/>
      <c r="B3" s="111"/>
      <c r="C3" s="111" t="s">
        <v>1</v>
      </c>
      <c r="D3" s="111"/>
      <c r="E3" s="111"/>
      <c r="F3" s="111" t="s">
        <v>1</v>
      </c>
      <c r="G3" s="111"/>
      <c r="H3" s="111"/>
      <c r="I3" s="111" t="s">
        <v>2</v>
      </c>
      <c r="J3" s="111"/>
      <c r="K3" s="111"/>
      <c r="L3" s="111" t="s">
        <v>2</v>
      </c>
      <c r="M3" s="112"/>
      <c r="N3" s="112" t="s">
        <v>3</v>
      </c>
      <c r="O3" s="112"/>
      <c r="P3" s="112"/>
      <c r="Q3" s="112"/>
      <c r="R3" s="216" t="s">
        <v>117</v>
      </c>
      <c r="S3" s="112"/>
    </row>
    <row r="4" spans="1:19" ht="12.75">
      <c r="A4" s="111"/>
      <c r="B4" s="111"/>
      <c r="C4" s="111" t="s">
        <v>4</v>
      </c>
      <c r="D4" s="111"/>
      <c r="E4" s="111"/>
      <c r="F4" s="111" t="s">
        <v>5</v>
      </c>
      <c r="G4" s="111"/>
      <c r="H4" s="111"/>
      <c r="I4" s="111" t="s">
        <v>6</v>
      </c>
      <c r="J4" s="111"/>
      <c r="K4" s="111"/>
      <c r="L4" s="111" t="s">
        <v>7</v>
      </c>
      <c r="M4" s="112"/>
      <c r="N4" s="123">
        <v>0.34027777777777773</v>
      </c>
      <c r="O4" s="112"/>
      <c r="P4" s="123">
        <v>0.375</v>
      </c>
      <c r="Q4" s="112"/>
      <c r="R4" s="123">
        <v>0.5625</v>
      </c>
      <c r="S4" s="112"/>
    </row>
    <row r="5" spans="1:19" ht="12.75">
      <c r="A5" s="111"/>
      <c r="B5" s="214" t="str">
        <f>IF(Meldeliste!$A$16="",H30,HLOOKUP(H30,Meldeliste!$A$15:$X$16,2,))</f>
        <v>4.N</v>
      </c>
      <c r="C5" s="214" t="str">
        <f>IF(Meldeliste!$A$16="",I30,HLOOKUP(I30,Meldeliste!$A$15:$X$16,2,))</f>
        <v>TV Kleefeld</v>
      </c>
      <c r="D5" s="215"/>
      <c r="E5" s="214" t="str">
        <f>IF(Meldeliste!$A$16="",K30,HLOOKUP(K30,Meldeliste!$A$15:$X$16,2,))</f>
        <v>3.N</v>
      </c>
      <c r="F5" s="214" t="str">
        <f>IF(Meldeliste!$A$16="",L30,HLOOKUP(L30,Meldeliste!$A$15:$X$16,2,))</f>
        <v>SSC Dodesheide</v>
      </c>
      <c r="G5" s="215"/>
      <c r="H5" s="214" t="str">
        <f>IF(Meldeliste!$A$12="",H30,HLOOKUP(H30,Meldeliste!$A$11:$X$12,2,))</f>
        <v>4.N</v>
      </c>
      <c r="I5" s="214" t="str">
        <f>IF(Meldeliste!$A$12="",I30,HLOOKUP(I30,Meldeliste!$A$11:$X$12,2,))</f>
        <v>VfL Oldenburg</v>
      </c>
      <c r="J5" s="215"/>
      <c r="K5" s="214" t="str">
        <f>IF(Meldeliste!$A$12="",K30,HLOOKUP(K30,Meldeliste!$A$11:$X$12,2,))</f>
        <v>3.N</v>
      </c>
      <c r="L5" s="214" t="str">
        <f>IF(Meldeliste!$A$12="",L30,HLOOKUP(L30,Meldeliste!$A$11:$X$12,2,))</f>
        <v>VSK Osterholz Scharmbeck</v>
      </c>
      <c r="M5" s="112"/>
      <c r="N5" s="114">
        <f aca="true" t="shared" si="0" ref="N5:N29">+N4+O5</f>
        <v>0.35763888888888884</v>
      </c>
      <c r="O5" s="123">
        <v>0.017361111111111112</v>
      </c>
      <c r="P5" s="114">
        <f aca="true" t="shared" si="1" ref="P5:P29">+P4+Q5</f>
        <v>0.3923611111111111</v>
      </c>
      <c r="Q5" s="123">
        <v>0.017361111111111112</v>
      </c>
      <c r="R5" s="114">
        <f aca="true" t="shared" si="2" ref="R5:R29">+R4+S5</f>
        <v>0.5798611111111112</v>
      </c>
      <c r="S5" s="123">
        <v>0.017361111111111112</v>
      </c>
    </row>
    <row r="6" spans="1:19" ht="12.75">
      <c r="A6" s="111"/>
      <c r="B6" s="214" t="str">
        <f>IF(Meldeliste!$A$16="",H31,HLOOKUP(H31,Meldeliste!$A$15:$X$16,2,))</f>
        <v>2.N</v>
      </c>
      <c r="C6" s="214" t="str">
        <f>IF(Meldeliste!$A$16="",I31,HLOOKUP(I31,Meldeliste!$A$15:$X$16,2,))</f>
        <v>SV Werder Bremen</v>
      </c>
      <c r="D6" s="215"/>
      <c r="E6" s="214" t="str">
        <f>IF(Meldeliste!$A$16="",K31,HLOOKUP(K31,Meldeliste!$A$15:$X$16,2,))</f>
        <v>1.N</v>
      </c>
      <c r="F6" s="214" t="str">
        <f>IF(Meldeliste!$A$16="",L31,HLOOKUP(L31,Meldeliste!$A$15:$X$16,2,))</f>
        <v>VfK 1901 Berlin</v>
      </c>
      <c r="G6" s="215"/>
      <c r="H6" s="214" t="str">
        <f>IF(Meldeliste!$A$12="",H31,HLOOKUP(H31,Meldeliste!$A$11:$X$12,2,))</f>
        <v>2.N</v>
      </c>
      <c r="I6" s="214" t="str">
        <f>IF(Meldeliste!$A$12="",I31,HLOOKUP(I31,Meldeliste!$A$11:$X$12,2,))</f>
        <v>MTV Itzehoe</v>
      </c>
      <c r="J6" s="215"/>
      <c r="K6" s="214" t="str">
        <f>IF(Meldeliste!$A$12="",K31,HLOOKUP(K31,Meldeliste!$A$11:$X$12,2,))</f>
        <v>1.N</v>
      </c>
      <c r="L6" s="214" t="str">
        <f>IF(Meldeliste!$A$12="",L31,HLOOKUP(L31,Meldeliste!$A$11:$X$12,2,))</f>
        <v>MTV Wohnste</v>
      </c>
      <c r="M6" s="112"/>
      <c r="N6" s="114">
        <f t="shared" si="0"/>
        <v>0.37499999999999994</v>
      </c>
      <c r="O6" s="114">
        <f aca="true" t="shared" si="3" ref="O6:Q29">+O5</f>
        <v>0.017361111111111112</v>
      </c>
      <c r="P6" s="114">
        <f t="shared" si="1"/>
        <v>0.4097222222222222</v>
      </c>
      <c r="Q6" s="114">
        <f t="shared" si="3"/>
        <v>0.017361111111111112</v>
      </c>
      <c r="R6" s="114">
        <f t="shared" si="2"/>
        <v>0.5972222222222223</v>
      </c>
      <c r="S6" s="114">
        <f aca="true" t="shared" si="4" ref="S6:S11">+S5</f>
        <v>0.017361111111111112</v>
      </c>
    </row>
    <row r="7" spans="1:19" ht="12.75">
      <c r="A7" s="111"/>
      <c r="B7" s="214" t="str">
        <f>IF(Meldeliste!$A$16="",H32,HLOOKUP(H32,Meldeliste!$A$15:$X$16,2,))</f>
        <v>3.W</v>
      </c>
      <c r="C7" s="214" t="str">
        <f>IF(Meldeliste!$A$16="",I32,HLOOKUP(I32,Meldeliste!$A$15:$X$16,2,))</f>
        <v>TB Hückeswagen</v>
      </c>
      <c r="D7" s="215"/>
      <c r="E7" s="214" t="str">
        <f>IF(Meldeliste!$A$16="",K32,HLOOKUP(K32,Meldeliste!$A$15:$X$16,2,))</f>
        <v>3.S</v>
      </c>
      <c r="F7" s="214" t="str">
        <f>IF(Meldeliste!$A$16="",L32,HLOOKUP(L32,Meldeliste!$A$15:$X$16,2,))</f>
        <v>SV Weiler</v>
      </c>
      <c r="G7" s="215"/>
      <c r="H7" s="214" t="str">
        <f>IF(Meldeliste!$A$12="",H32,HLOOKUP(H32,Meldeliste!$A$11:$X$12,2,))</f>
        <v>3.W</v>
      </c>
      <c r="I7" s="214" t="str">
        <f>IF(Meldeliste!$A$12="",I32,HLOOKUP(I32,Meldeliste!$A$11:$X$12,2,))</f>
        <v>TV Berkenbaum</v>
      </c>
      <c r="J7" s="215"/>
      <c r="K7" s="214" t="str">
        <f>IF(Meldeliste!$A$12="",K32,HLOOKUP(K32,Meldeliste!$A$11:$X$12,2,))</f>
        <v>3.S</v>
      </c>
      <c r="L7" s="214" t="str">
        <f>IF(Meldeliste!$A$12="",L32,HLOOKUP(L32,Meldeliste!$A$11:$X$12,2,))</f>
        <v>TV Wertheim</v>
      </c>
      <c r="M7" s="112"/>
      <c r="N7" s="114">
        <f t="shared" si="0"/>
        <v>0.39236111111111105</v>
      </c>
      <c r="O7" s="114">
        <f t="shared" si="3"/>
        <v>0.017361111111111112</v>
      </c>
      <c r="P7" s="114">
        <f t="shared" si="1"/>
        <v>0.4270833333333333</v>
      </c>
      <c r="Q7" s="114">
        <f t="shared" si="3"/>
        <v>0.017361111111111112</v>
      </c>
      <c r="R7" s="114">
        <f t="shared" si="2"/>
        <v>0.6145833333333335</v>
      </c>
      <c r="S7" s="114">
        <f t="shared" si="4"/>
        <v>0.017361111111111112</v>
      </c>
    </row>
    <row r="8" spans="1:19" ht="12.75">
      <c r="A8" s="111"/>
      <c r="B8" s="214" t="str">
        <f>IF(Meldeliste!$A$16="",H33,HLOOKUP(H33,Meldeliste!$A$15:$X$16,2,))</f>
        <v>1.W</v>
      </c>
      <c r="C8" s="214" t="str">
        <f>IF(Meldeliste!$A$16="",I33,HLOOKUP(I33,Meldeliste!$A$15:$X$16,2,))</f>
        <v>TV Kierdorf</v>
      </c>
      <c r="D8" s="215"/>
      <c r="E8" s="214" t="str">
        <f>IF(Meldeliste!$A$16="",K33,HLOOKUP(K33,Meldeliste!$A$15:$X$16,2,))</f>
        <v>2.S</v>
      </c>
      <c r="F8" s="214" t="str">
        <f>IF(Meldeliste!$A$16="",L33,HLOOKUP(L33,Meldeliste!$A$15:$X$16,2,))</f>
        <v>SV Prag Stuttgart</v>
      </c>
      <c r="G8" s="215"/>
      <c r="H8" s="214" t="str">
        <f>IF(Meldeliste!$A$12="",H33,HLOOKUP(H33,Meldeliste!$A$11:$X$12,2,))</f>
        <v>1.W</v>
      </c>
      <c r="I8" s="214" t="str">
        <f>IF(Meldeliste!$A$12="",I33,HLOOKUP(I33,Meldeliste!$A$11:$X$12,2,))</f>
        <v>Barmer TG</v>
      </c>
      <c r="J8" s="215"/>
      <c r="K8" s="214" t="str">
        <f>IF(Meldeliste!$A$12="",K33,HLOOKUP(K33,Meldeliste!$A$11:$X$12,2,))</f>
        <v>2.S</v>
      </c>
      <c r="L8" s="214" t="str">
        <f>IF(Meldeliste!$A$12="",L33,HLOOKUP(L33,Meldeliste!$A$11:$X$12,2,))</f>
        <v>TG Giengen</v>
      </c>
      <c r="M8" s="112"/>
      <c r="N8" s="114">
        <f t="shared" si="0"/>
        <v>0.40972222222222215</v>
      </c>
      <c r="O8" s="114">
        <f t="shared" si="3"/>
        <v>0.017361111111111112</v>
      </c>
      <c r="P8" s="114">
        <f t="shared" si="1"/>
        <v>0.4444444444444444</v>
      </c>
      <c r="Q8" s="114">
        <f t="shared" si="3"/>
        <v>0.017361111111111112</v>
      </c>
      <c r="R8" s="114">
        <f t="shared" si="2"/>
        <v>0.6319444444444446</v>
      </c>
      <c r="S8" s="114">
        <f t="shared" si="4"/>
        <v>0.017361111111111112</v>
      </c>
    </row>
    <row r="9" spans="1:19" ht="12.75">
      <c r="A9" s="111"/>
      <c r="B9" s="214" t="str">
        <f>IF(Meldeliste!$A$16="",H34,HLOOKUP(H34,Meldeliste!$A$15:$X$16,2,))</f>
        <v>1.S</v>
      </c>
      <c r="C9" s="214" t="str">
        <f>IF(Meldeliste!$A$16="",I34,HLOOKUP(I34,Meldeliste!$A$15:$X$16,2,))</f>
        <v>TSV Krumbach</v>
      </c>
      <c r="D9" s="215"/>
      <c r="E9" s="214" t="str">
        <f>IF(Meldeliste!$A$16="",K34,HLOOKUP(K34,Meldeliste!$A$15:$X$16,2,))</f>
        <v>2.W</v>
      </c>
      <c r="F9" s="214" t="str">
        <f>IF(Meldeliste!$A$16="",L34,HLOOKUP(L34,Meldeliste!$A$15:$X$16,2,))</f>
        <v>SKG Ober Ramstadt</v>
      </c>
      <c r="G9" s="215"/>
      <c r="H9" s="214" t="str">
        <f>IF(Meldeliste!$A$12="",H34,HLOOKUP(H34,Meldeliste!$A$11:$X$12,2,))</f>
        <v>1.S</v>
      </c>
      <c r="I9" s="214" t="str">
        <f>IF(Meldeliste!$A$12="",I34,HLOOKUP(I34,Meldeliste!$A$11:$X$12,2,))</f>
        <v>TSV Ludwigshafen</v>
      </c>
      <c r="J9" s="215"/>
      <c r="K9" s="214" t="str">
        <f>IF(Meldeliste!$A$12="",K34,HLOOKUP(K34,Meldeliste!$A$11:$X$12,2,))</f>
        <v>2.W</v>
      </c>
      <c r="L9" s="214" t="str">
        <f>IF(Meldeliste!$A$12="",L34,HLOOKUP(L34,Meldeliste!$A$11:$X$12,2,))</f>
        <v>Betzdorfer TV</v>
      </c>
      <c r="M9" s="112"/>
      <c r="N9" s="114">
        <f t="shared" si="0"/>
        <v>0.42708333333333326</v>
      </c>
      <c r="O9" s="114">
        <f t="shared" si="3"/>
        <v>0.017361111111111112</v>
      </c>
      <c r="P9" s="114">
        <f t="shared" si="1"/>
        <v>0.4618055555555555</v>
      </c>
      <c r="Q9" s="114">
        <f t="shared" si="3"/>
        <v>0.017361111111111112</v>
      </c>
      <c r="R9" s="114">
        <f t="shared" si="2"/>
        <v>0.6493055555555558</v>
      </c>
      <c r="S9" s="114">
        <f t="shared" si="4"/>
        <v>0.017361111111111112</v>
      </c>
    </row>
    <row r="10" spans="1:19" ht="12.75">
      <c r="A10" s="111"/>
      <c r="B10" s="111"/>
      <c r="C10" s="111"/>
      <c r="D10" s="111"/>
      <c r="E10" s="111"/>
      <c r="F10" s="115"/>
      <c r="G10" s="111"/>
      <c r="H10" s="111"/>
      <c r="I10" s="116"/>
      <c r="J10" s="111"/>
      <c r="K10" s="111"/>
      <c r="L10" s="111"/>
      <c r="M10" s="112"/>
      <c r="N10" s="114">
        <f t="shared" si="0"/>
        <v>0.44444444444444436</v>
      </c>
      <c r="O10" s="114">
        <f t="shared" si="3"/>
        <v>0.017361111111111112</v>
      </c>
      <c r="P10" s="114">
        <f t="shared" si="1"/>
        <v>0.47916666666666663</v>
      </c>
      <c r="Q10" s="114">
        <f t="shared" si="3"/>
        <v>0.017361111111111112</v>
      </c>
      <c r="R10" s="114">
        <f t="shared" si="2"/>
        <v>0.666666666666667</v>
      </c>
      <c r="S10" s="114">
        <f t="shared" si="4"/>
        <v>0.017361111111111112</v>
      </c>
    </row>
    <row r="11" spans="1:19" ht="12.75">
      <c r="A11" s="111"/>
      <c r="B11" s="111"/>
      <c r="C11" s="111" t="s">
        <v>8</v>
      </c>
      <c r="D11" s="111"/>
      <c r="E11" s="111"/>
      <c r="F11" s="111" t="s">
        <v>8</v>
      </c>
      <c r="G11" s="111"/>
      <c r="H11" s="111"/>
      <c r="I11" s="115" t="s">
        <v>9</v>
      </c>
      <c r="J11" s="111"/>
      <c r="K11" s="111"/>
      <c r="L11" s="115" t="s">
        <v>9</v>
      </c>
      <c r="M11" s="112"/>
      <c r="N11" s="114">
        <f t="shared" si="0"/>
        <v>0.46180555555555547</v>
      </c>
      <c r="O11" s="114">
        <f t="shared" si="3"/>
        <v>0.017361111111111112</v>
      </c>
      <c r="P11" s="114">
        <f t="shared" si="1"/>
        <v>0.49652777777777773</v>
      </c>
      <c r="Q11" s="114">
        <f t="shared" si="3"/>
        <v>0.017361111111111112</v>
      </c>
      <c r="R11" s="114">
        <f t="shared" si="2"/>
        <v>0.6840277777777781</v>
      </c>
      <c r="S11" s="114">
        <f t="shared" si="4"/>
        <v>0.017361111111111112</v>
      </c>
    </row>
    <row r="12" spans="1:19" ht="12.75">
      <c r="A12" s="111"/>
      <c r="B12" s="111"/>
      <c r="C12" s="111" t="s">
        <v>10</v>
      </c>
      <c r="D12" s="111"/>
      <c r="E12" s="111"/>
      <c r="F12" s="111" t="s">
        <v>11</v>
      </c>
      <c r="G12" s="111"/>
      <c r="H12" s="111"/>
      <c r="I12" s="115" t="s">
        <v>12</v>
      </c>
      <c r="J12" s="111"/>
      <c r="K12" s="111"/>
      <c r="L12" s="111" t="s">
        <v>13</v>
      </c>
      <c r="M12" s="112"/>
      <c r="N12" s="114">
        <f t="shared" si="0"/>
        <v>0.4791666666666666</v>
      </c>
      <c r="O12" s="114">
        <f t="shared" si="3"/>
        <v>0.017361111111111112</v>
      </c>
      <c r="P12" s="114">
        <f t="shared" si="1"/>
        <v>0.5138888888888888</v>
      </c>
      <c r="Q12" s="141">
        <v>0.017361111111111112</v>
      </c>
      <c r="R12" s="114">
        <f t="shared" si="2"/>
        <v>0.7013888888888893</v>
      </c>
      <c r="S12" s="141">
        <v>0.017361111111111112</v>
      </c>
    </row>
    <row r="13" spans="1:19" ht="12.75">
      <c r="A13" s="111"/>
      <c r="B13" s="214" t="str">
        <f>IF(Meldeliste!$A$20="",H30,HLOOKUP(H30,Meldeliste!$A$19:$X$20,2,))</f>
        <v>NI</v>
      </c>
      <c r="C13" s="214" t="str">
        <f>IF(Meldeliste!$A$20="",I30,HLOOKUP(I30,Meldeliste!$A$19:$X$20,2,))</f>
        <v>TSV Burgdorf</v>
      </c>
      <c r="D13" s="215"/>
      <c r="E13" s="214" t="str">
        <f>IF(Meldeliste!$A$20="",K30,HLOOKUP(K30,Meldeliste!$A$19:$X$20,2,))</f>
        <v>3.N</v>
      </c>
      <c r="F13" s="214" t="str">
        <f>IF(Meldeliste!$A$20="",L30,HLOOKUP(L30,Meldeliste!$A$19:$X$20,2,))</f>
        <v>TV Grohn</v>
      </c>
      <c r="G13" s="215"/>
      <c r="H13" s="214" t="str">
        <f>IF(Meldeliste!$A$8="",H30,HLOOKUP(H30,Meldeliste!$A$7:$X$8,2,))</f>
        <v>4.N</v>
      </c>
      <c r="I13" s="214" t="str">
        <f>IF(Meldeliste!$A$8="",I30,HLOOKUP(I30,Meldeliste!$A$7:$X$8,2,))</f>
        <v>VfK 1901 Berlin</v>
      </c>
      <c r="J13" s="215"/>
      <c r="K13" s="214" t="str">
        <f>IF(Meldeliste!$A$8="",K30,HLOOKUP(K30,Meldeliste!$A$7:$X$8,2,))</f>
        <v>3.N</v>
      </c>
      <c r="L13" s="214" t="str">
        <f>IF(Meldeliste!$A$8="",L30,HLOOKUP(L30,Meldeliste!$A$7:$X$8,2,))</f>
        <v>TV Grohn</v>
      </c>
      <c r="M13" s="112"/>
      <c r="N13" s="114">
        <f t="shared" si="0"/>
        <v>0.4965277777777777</v>
      </c>
      <c r="O13" s="114">
        <f t="shared" si="3"/>
        <v>0.017361111111111112</v>
      </c>
      <c r="P13" s="114">
        <f t="shared" si="1"/>
        <v>0.53125</v>
      </c>
      <c r="Q13" s="114">
        <f t="shared" si="3"/>
        <v>0.017361111111111112</v>
      </c>
      <c r="R13" s="114">
        <f t="shared" si="2"/>
        <v>0.7187500000000004</v>
      </c>
      <c r="S13" s="114">
        <f aca="true" t="shared" si="5" ref="S13:S29">+S12</f>
        <v>0.017361111111111112</v>
      </c>
    </row>
    <row r="14" spans="1:19" ht="12.75">
      <c r="A14" s="111"/>
      <c r="B14" s="214" t="str">
        <f>IF(Meldeliste!$A$20="",H31,HLOOKUP(H31,Meldeliste!$A$19:$X$20,2,))</f>
        <v>2.N</v>
      </c>
      <c r="C14" s="214" t="str">
        <f>IF(Meldeliste!$A$20="",I31,HLOOKUP(I31,Meldeliste!$A$19:$X$20,2,))</f>
        <v>TSV Kirchdorf</v>
      </c>
      <c r="D14" s="215"/>
      <c r="E14" s="214" t="str">
        <f>IF(Meldeliste!$A$20="",K31,HLOOKUP(K31,Meldeliste!$A$19:$X$20,2,))</f>
        <v>1.N</v>
      </c>
      <c r="F14" s="214" t="str">
        <f>IF(Meldeliste!$A$20="",L31,HLOOKUP(L31,Meldeliste!$A$19:$X$20,2,))</f>
        <v>SF Ricklingen</v>
      </c>
      <c r="G14" s="215"/>
      <c r="H14" s="214" t="str">
        <f>IF(Meldeliste!$A$8="",H31,HLOOKUP(H31,Meldeliste!$A$7:$X$8,2,))</f>
        <v>2.N</v>
      </c>
      <c r="I14" s="214" t="str">
        <f>IF(Meldeliste!$A$8="",I31,HLOOKUP(I31,Meldeliste!$A$7:$X$8,2,))</f>
        <v>MTV Eiche Schönebeck</v>
      </c>
      <c r="J14" s="215"/>
      <c r="K14" s="214" t="str">
        <f>IF(Meldeliste!$A$8="",K31,HLOOKUP(K31,Meldeliste!$A$7:$X$8,2,))</f>
        <v>1.N</v>
      </c>
      <c r="L14" s="214" t="str">
        <f>IF(Meldeliste!$A$8="",L31,HLOOKUP(L31,Meldeliste!$A$7:$X$8,2,))</f>
        <v>VfL Hannover</v>
      </c>
      <c r="M14" s="112"/>
      <c r="N14" s="114">
        <f t="shared" si="0"/>
        <v>0.5138888888888888</v>
      </c>
      <c r="O14" s="114">
        <f t="shared" si="3"/>
        <v>0.017361111111111112</v>
      </c>
      <c r="P14" s="114">
        <f t="shared" si="1"/>
        <v>0.5486111111111112</v>
      </c>
      <c r="Q14" s="114">
        <f t="shared" si="3"/>
        <v>0.017361111111111112</v>
      </c>
      <c r="R14" s="114">
        <f t="shared" si="2"/>
        <v>0.7361111111111116</v>
      </c>
      <c r="S14" s="114">
        <f t="shared" si="5"/>
        <v>0.017361111111111112</v>
      </c>
    </row>
    <row r="15" spans="1:19" ht="12.75">
      <c r="A15" s="111"/>
      <c r="B15" s="214" t="str">
        <f>IF(Meldeliste!$A$20="",H32,HLOOKUP(H32,Meldeliste!$A$19:$X$20,2,))</f>
        <v>3.W</v>
      </c>
      <c r="C15" s="214" t="str">
        <f>IF(Meldeliste!$A$20="",I32,HLOOKUP(I32,Meldeliste!$A$19:$X$20,2,))</f>
        <v>PV Gundernhausen</v>
      </c>
      <c r="D15" s="215"/>
      <c r="E15" s="214" t="str">
        <f>IF(Meldeliste!$A$20="",K32,HLOOKUP(K32,Meldeliste!$A$19:$X$20,2,))</f>
        <v>3.S</v>
      </c>
      <c r="F15" s="214" t="str">
        <f>IF(Meldeliste!$A$20="",L32,HLOOKUP(L32,Meldeliste!$A$19:$X$20,2,))</f>
        <v>TV Offenburg</v>
      </c>
      <c r="G15" s="215"/>
      <c r="H15" s="214" t="str">
        <f>IF(Meldeliste!$A$8="",H32,HLOOKUP(H32,Meldeliste!$A$7:$X$8,2,))</f>
        <v>3.W</v>
      </c>
      <c r="I15" s="214" t="str">
        <f>IF(Meldeliste!$A$8="",I32,HLOOKUP(I32,Meldeliste!$A$7:$X$8,2,))</f>
        <v>3. West</v>
      </c>
      <c r="J15" s="215"/>
      <c r="K15" s="214" t="str">
        <f>IF(Meldeliste!$A$8="",K32,HLOOKUP(K32,Meldeliste!$A$7:$X$8,2,))</f>
        <v>3.S</v>
      </c>
      <c r="L15" s="214" t="str">
        <f>IF(Meldeliste!$A$8="",L32,HLOOKUP(L32,Meldeliste!$A$7:$X$8,2,))</f>
        <v>TV Baden</v>
      </c>
      <c r="M15" s="112"/>
      <c r="N15" s="114">
        <f t="shared" si="0"/>
        <v>0.53125</v>
      </c>
      <c r="O15" s="114">
        <f t="shared" si="3"/>
        <v>0.017361111111111112</v>
      </c>
      <c r="P15" s="114">
        <f t="shared" si="1"/>
        <v>0.5659722222222223</v>
      </c>
      <c r="Q15" s="114">
        <f t="shared" si="3"/>
        <v>0.017361111111111112</v>
      </c>
      <c r="R15" s="114">
        <f t="shared" si="2"/>
        <v>0.7534722222222228</v>
      </c>
      <c r="S15" s="114">
        <f t="shared" si="5"/>
        <v>0.017361111111111112</v>
      </c>
    </row>
    <row r="16" spans="1:19" ht="12.75">
      <c r="A16" s="111"/>
      <c r="B16" s="214" t="str">
        <f>IF(Meldeliste!$A$20="",H33,HLOOKUP(H33,Meldeliste!$A$19:$X$20,2,))</f>
        <v>1.W</v>
      </c>
      <c r="C16" s="214" t="str">
        <f>IF(Meldeliste!$A$20="",I33,HLOOKUP(I33,Meldeliste!$A$19:$X$20,2,))</f>
        <v>TV Berkenbaum</v>
      </c>
      <c r="D16" s="215"/>
      <c r="E16" s="214" t="str">
        <f>IF(Meldeliste!$A$20="",K33,HLOOKUP(K33,Meldeliste!$A$19:$X$20,2,))</f>
        <v>2.S</v>
      </c>
      <c r="F16" s="214" t="str">
        <f>IF(Meldeliste!$A$20="",L33,HLOOKUP(L33,Meldeliste!$A$19:$X$20,2,))</f>
        <v>VT Contwig</v>
      </c>
      <c r="G16" s="215"/>
      <c r="H16" s="214" t="str">
        <f>IF(Meldeliste!$A$8="",H33,HLOOKUP(H33,Meldeliste!$A$7:$X$8,2,))</f>
        <v>1.W</v>
      </c>
      <c r="I16" s="214" t="str">
        <f>IF(Meldeliste!$A$8="",I33,HLOOKUP(I33,Meldeliste!$A$7:$X$8,2,))</f>
        <v>TSV Radevormwald</v>
      </c>
      <c r="J16" s="215"/>
      <c r="K16" s="214" t="str">
        <f>IF(Meldeliste!$A$8="",K33,HLOOKUP(K33,Meldeliste!$A$7:$X$8,2,))</f>
        <v>2.S</v>
      </c>
      <c r="L16" s="214" t="str">
        <f>IF(Meldeliste!$A$8="",L33,HLOOKUP(L33,Meldeliste!$A$7:$X$8,2,))</f>
        <v>TV Oberschopfheim</v>
      </c>
      <c r="M16" s="112"/>
      <c r="N16" s="198">
        <v>0.5625</v>
      </c>
      <c r="O16" s="114">
        <f t="shared" si="3"/>
        <v>0.017361111111111112</v>
      </c>
      <c r="P16" s="114">
        <f t="shared" si="1"/>
        <v>0.5833333333333335</v>
      </c>
      <c r="Q16" s="114">
        <f t="shared" si="3"/>
        <v>0.017361111111111112</v>
      </c>
      <c r="R16" s="114">
        <f t="shared" si="2"/>
        <v>0.7708333333333339</v>
      </c>
      <c r="S16" s="114">
        <f t="shared" si="5"/>
        <v>0.017361111111111112</v>
      </c>
    </row>
    <row r="17" spans="1:19" ht="12.75">
      <c r="A17" s="111"/>
      <c r="B17" s="214" t="str">
        <f>IF(Meldeliste!$A$20="",H34,HLOOKUP(H34,Meldeliste!$A$19:$X$20,2,))</f>
        <v>1.S</v>
      </c>
      <c r="C17" s="214" t="str">
        <f>IF(Meldeliste!$A$20="",I34,HLOOKUP(I34,Meldeliste!$A$19:$X$20,2,))</f>
        <v>TV Wertheim</v>
      </c>
      <c r="D17" s="215"/>
      <c r="E17" s="214" t="str">
        <f>IF(Meldeliste!$A$20="",K34,HLOOKUP(K34,Meldeliste!$A$19:$X$20,2,))</f>
        <v>2.W</v>
      </c>
      <c r="F17" s="214" t="str">
        <f>IF(Meldeliste!$A$20="",L34,HLOOKUP(L34,Meldeliste!$A$19:$X$20,2,))</f>
        <v>TV FA Altenbochum</v>
      </c>
      <c r="G17" s="215"/>
      <c r="H17" s="214" t="str">
        <f>IF(Meldeliste!$A$8="",H34,HLOOKUP(H34,Meldeliste!$A$7:$X$8,2,))</f>
        <v>1.S</v>
      </c>
      <c r="I17" s="214" t="str">
        <f>IF(Meldeliste!$A$8="",I34,HLOOKUP(I34,Meldeliste!$A$7:$X$8,2,))</f>
        <v>TV Edingen</v>
      </c>
      <c r="J17" s="215"/>
      <c r="K17" s="214" t="str">
        <f>IF(Meldeliste!$A$8="",K34,HLOOKUP(K34,Meldeliste!$A$7:$X$8,2,))</f>
        <v>2.W</v>
      </c>
      <c r="L17" s="214" t="str">
        <f>IF(Meldeliste!$A$8="",L34,HLOOKUP(L34,Meldeliste!$A$7:$X$8,2,))</f>
        <v>SKG Ober Ramstadt</v>
      </c>
      <c r="M17" s="112"/>
      <c r="N17" s="114">
        <f t="shared" si="0"/>
        <v>0.5798611111111112</v>
      </c>
      <c r="O17" s="114">
        <f t="shared" si="3"/>
        <v>0.017361111111111112</v>
      </c>
      <c r="P17" s="114">
        <f t="shared" si="1"/>
        <v>0.6006944444444446</v>
      </c>
      <c r="Q17" s="114">
        <f t="shared" si="3"/>
        <v>0.017361111111111112</v>
      </c>
      <c r="R17" s="114">
        <f t="shared" si="2"/>
        <v>0.7881944444444451</v>
      </c>
      <c r="S17" s="114">
        <f t="shared" si="5"/>
        <v>0.017361111111111112</v>
      </c>
    </row>
    <row r="18" spans="1:19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114">
        <f t="shared" si="0"/>
        <v>0.5972222222222223</v>
      </c>
      <c r="O18" s="114">
        <f t="shared" si="3"/>
        <v>0.017361111111111112</v>
      </c>
      <c r="P18" s="114">
        <f t="shared" si="1"/>
        <v>0.6180555555555558</v>
      </c>
      <c r="Q18" s="114">
        <f t="shared" si="3"/>
        <v>0.017361111111111112</v>
      </c>
      <c r="R18" s="114">
        <f t="shared" si="2"/>
        <v>0.8055555555555562</v>
      </c>
      <c r="S18" s="114">
        <f t="shared" si="5"/>
        <v>0.017361111111111112</v>
      </c>
    </row>
    <row r="19" spans="1:19" ht="12.75">
      <c r="A19" s="111"/>
      <c r="B19" s="111"/>
      <c r="C19" s="111" t="s">
        <v>14</v>
      </c>
      <c r="D19" s="111"/>
      <c r="E19" s="111"/>
      <c r="F19" s="111" t="s">
        <v>14</v>
      </c>
      <c r="G19" s="111"/>
      <c r="H19" s="111"/>
      <c r="I19" s="111" t="s">
        <v>66</v>
      </c>
      <c r="J19" s="111"/>
      <c r="K19" s="111"/>
      <c r="L19" s="111" t="s">
        <v>66</v>
      </c>
      <c r="M19" s="112"/>
      <c r="N19" s="114">
        <f t="shared" si="0"/>
        <v>0.6180555555555557</v>
      </c>
      <c r="O19" s="114">
        <v>0.020833333333333332</v>
      </c>
      <c r="P19" s="114">
        <f t="shared" si="1"/>
        <v>0.635416666666667</v>
      </c>
      <c r="Q19" s="114">
        <f t="shared" si="3"/>
        <v>0.017361111111111112</v>
      </c>
      <c r="R19" s="114">
        <f t="shared" si="2"/>
        <v>0.8229166666666674</v>
      </c>
      <c r="S19" s="114">
        <f t="shared" si="5"/>
        <v>0.017361111111111112</v>
      </c>
    </row>
    <row r="20" spans="1:19" ht="12.75">
      <c r="A20" s="111"/>
      <c r="B20" s="111"/>
      <c r="C20" s="111" t="s">
        <v>15</v>
      </c>
      <c r="D20" s="111"/>
      <c r="E20" s="111"/>
      <c r="F20" s="111" t="s">
        <v>16</v>
      </c>
      <c r="G20" s="111"/>
      <c r="H20" s="138"/>
      <c r="I20" s="138" t="s">
        <v>67</v>
      </c>
      <c r="J20" s="138"/>
      <c r="K20" s="138" t="s">
        <v>86</v>
      </c>
      <c r="L20" s="138" t="s">
        <v>68</v>
      </c>
      <c r="M20" s="139"/>
      <c r="N20" s="114">
        <f t="shared" si="0"/>
        <v>0.6354166666666669</v>
      </c>
      <c r="O20" s="114">
        <v>0.017361111111111112</v>
      </c>
      <c r="P20" s="114">
        <f t="shared" si="1"/>
        <v>0.6527777777777781</v>
      </c>
      <c r="Q20" s="114">
        <f t="shared" si="3"/>
        <v>0.017361111111111112</v>
      </c>
      <c r="R20" s="114">
        <f t="shared" si="2"/>
        <v>0.8402777777777786</v>
      </c>
      <c r="S20" s="114">
        <f t="shared" si="5"/>
        <v>0.017361111111111112</v>
      </c>
    </row>
    <row r="21" spans="1:19" ht="12.75">
      <c r="A21" s="111"/>
      <c r="B21" s="214" t="str">
        <f>IF(Meldeliste!$A$24="",H30,HLOOKUP(H30,Meldeliste!$A$23:$X$24,2,))</f>
        <v>4.N</v>
      </c>
      <c r="C21" s="214" t="str">
        <f>IF(Meldeliste!$A$24="",I30,HLOOKUP(I30,Meldeliste!$A$23:$X$24,2,))</f>
        <v>SC Wentorf</v>
      </c>
      <c r="D21" s="215"/>
      <c r="E21" s="214" t="str">
        <f>IF(Meldeliste!$A$24="",K30,HLOOKUP(K30,Meldeliste!$A$23:$X$24,2,))</f>
        <v>3.N</v>
      </c>
      <c r="F21" s="214" t="str">
        <f>IF(Meldeliste!$A$24="",L30,HLOOKUP(L30,Meldeliste!$A$23:$X$24,2,))</f>
        <v>TSV Kirchdorf</v>
      </c>
      <c r="G21" s="215"/>
      <c r="H21" s="214" t="str">
        <f>IF(Meldeliste!$A$28="",H30,HLOOKUP(H30,Meldeliste!$A$27:$X$28,2,))</f>
        <v>4.N</v>
      </c>
      <c r="I21" s="214" t="str">
        <f>IF(Meldeliste!$A$28="",I30,HLOOKUP(I30,Meldeliste!$A$27:$X$28,2,))</f>
        <v>VfL Oldenburg</v>
      </c>
      <c r="J21" s="215"/>
      <c r="K21" s="214" t="str">
        <f>IF(Meldeliste!$A$28="",K30,HLOOKUP(K30,Meldeliste!$A$27:$X$28,2,))</f>
        <v>3.N</v>
      </c>
      <c r="L21" s="214" t="str">
        <f>IF(Meldeliste!$A$28="",L30,HLOOKUP(L30,Meldeliste!$A$27:$X$28,2,))</f>
        <v>TSV Burgdorf</v>
      </c>
      <c r="M21" s="112"/>
      <c r="N21" s="114">
        <f t="shared" si="0"/>
        <v>0.6562500000000002</v>
      </c>
      <c r="O21" s="114">
        <v>0.020833333333333332</v>
      </c>
      <c r="P21" s="114">
        <f t="shared" si="1"/>
        <v>0.6701388888888893</v>
      </c>
      <c r="Q21" s="114">
        <f t="shared" si="3"/>
        <v>0.017361111111111112</v>
      </c>
      <c r="R21" s="114">
        <f t="shared" si="2"/>
        <v>0.8576388888888897</v>
      </c>
      <c r="S21" s="114">
        <f t="shared" si="5"/>
        <v>0.017361111111111112</v>
      </c>
    </row>
    <row r="22" spans="1:19" ht="12.75">
      <c r="A22" s="111"/>
      <c r="B22" s="214" t="str">
        <f>IF(Meldeliste!$A$24="",H31,HLOOKUP(H31,Meldeliste!$A$23:$X$24,2,))</f>
        <v>2.N</v>
      </c>
      <c r="C22" s="214" t="str">
        <f>IF(Meldeliste!$A$24="",I31,HLOOKUP(I31,Meldeliste!$A$23:$X$24,2,))</f>
        <v>SF Ricklingen</v>
      </c>
      <c r="D22" s="215"/>
      <c r="E22" s="214" t="str">
        <f>IF(Meldeliste!$A$24="",K31,HLOOKUP(K31,Meldeliste!$A$23:$X$24,2,))</f>
        <v>1.N</v>
      </c>
      <c r="F22" s="214" t="str">
        <f>IF(Meldeliste!$A$24="",L31,HLOOKUP(L31,Meldeliste!$A$23:$X$24,2,))</f>
        <v>SV Werder Bremen</v>
      </c>
      <c r="G22" s="215"/>
      <c r="H22" s="214" t="str">
        <f>IF(Meldeliste!$A$28="",H31,HLOOKUP(H31,Meldeliste!$A$27:$X$28,2,))</f>
        <v>2.N</v>
      </c>
      <c r="I22" s="214" t="str">
        <f>IF(Meldeliste!$A$28="",I31,HLOOKUP(I31,Meldeliste!$A$27:$X$28,2,))</f>
        <v>TV Bremen 1875</v>
      </c>
      <c r="J22" s="215"/>
      <c r="K22" s="214" t="str">
        <f>IF(Meldeliste!$A$28="",K31,HLOOKUP(K31,Meldeliste!$A$27:$X$28,2,))</f>
        <v>1.N</v>
      </c>
      <c r="L22" s="214" t="str">
        <f>IF(Meldeliste!$A$28="",L31,HLOOKUP(L31,Meldeliste!$A$27:$X$28,2,))</f>
        <v>SV Werder Bremen</v>
      </c>
      <c r="M22" s="112"/>
      <c r="N22" s="114">
        <f t="shared" si="0"/>
        <v>0.6736111111111114</v>
      </c>
      <c r="O22" s="114">
        <v>0.017361111111111112</v>
      </c>
      <c r="P22" s="114">
        <f t="shared" si="1"/>
        <v>0.6875000000000004</v>
      </c>
      <c r="Q22" s="114">
        <f t="shared" si="3"/>
        <v>0.017361111111111112</v>
      </c>
      <c r="R22" s="114">
        <f t="shared" si="2"/>
        <v>0.8750000000000009</v>
      </c>
      <c r="S22" s="114">
        <f t="shared" si="5"/>
        <v>0.017361111111111112</v>
      </c>
    </row>
    <row r="23" spans="1:19" ht="12.75">
      <c r="A23" s="111"/>
      <c r="B23" s="214" t="str">
        <f>IF(Meldeliste!$A$24="",H32,HLOOKUP(H32,Meldeliste!$A$23:$X$24,2,))</f>
        <v>3.W</v>
      </c>
      <c r="C23" s="214" t="str">
        <f>IF(Meldeliste!$A$24="",I32,HLOOKUP(I32,Meldeliste!$A$23:$X$24,2,))</f>
        <v>Haaner TB</v>
      </c>
      <c r="D23" s="215"/>
      <c r="E23" s="214" t="str">
        <f>IF(Meldeliste!$A$24="",K32,HLOOKUP(K32,Meldeliste!$A$23:$X$24,2,))</f>
        <v>3.S</v>
      </c>
      <c r="F23" s="214" t="str">
        <f>IF(Meldeliste!$A$24="",L32,HLOOKUP(L32,Meldeliste!$A$23:$X$24,2,))</f>
        <v>TV Edingen</v>
      </c>
      <c r="G23" s="215"/>
      <c r="H23" s="214" t="str">
        <f>IF(Meldeliste!$A$28="",H32,HLOOKUP(H32,Meldeliste!$A$27:$X$28,2,))</f>
        <v>3.W</v>
      </c>
      <c r="I23" s="214" t="str">
        <f>IF(Meldeliste!$A$28="",I32,HLOOKUP(I32,Meldeliste!$A$27:$X$28,2,))</f>
        <v>Eiserfelder TV</v>
      </c>
      <c r="J23" s="215"/>
      <c r="K23" s="214" t="str">
        <f>IF(Meldeliste!$A$28="",K32,HLOOKUP(K32,Meldeliste!$A$27:$X$28,2,))</f>
        <v>3.S</v>
      </c>
      <c r="L23" s="214" t="str">
        <f>IF(Meldeliste!$A$28="",L32,HLOOKUP(L32,Meldeliste!$A$27:$X$28,2,))</f>
        <v>TV Cramberg</v>
      </c>
      <c r="M23" s="112"/>
      <c r="N23" s="114">
        <f t="shared" si="0"/>
        <v>0.6909722222222225</v>
      </c>
      <c r="O23" s="114">
        <f t="shared" si="3"/>
        <v>0.017361111111111112</v>
      </c>
      <c r="P23" s="114">
        <f t="shared" si="1"/>
        <v>0.7048611111111116</v>
      </c>
      <c r="Q23" s="114">
        <f t="shared" si="3"/>
        <v>0.017361111111111112</v>
      </c>
      <c r="R23" s="114">
        <f t="shared" si="2"/>
        <v>0.892361111111112</v>
      </c>
      <c r="S23" s="114">
        <f t="shared" si="5"/>
        <v>0.017361111111111112</v>
      </c>
    </row>
    <row r="24" spans="1:19" ht="12.75">
      <c r="A24" s="111"/>
      <c r="B24" s="214" t="str">
        <f>IF(Meldeliste!$A$24="",H33,HLOOKUP(H33,Meldeliste!$A$23:$X$24,2,))</f>
        <v>1.W</v>
      </c>
      <c r="C24" s="214" t="str">
        <f>IF(Meldeliste!$A$24="",I33,HLOOKUP(I33,Meldeliste!$A$23:$X$24,2,))</f>
        <v>TV Viersen</v>
      </c>
      <c r="D24" s="215"/>
      <c r="E24" s="214" t="str">
        <f>IF(Meldeliste!$A$24="",K33,HLOOKUP(K33,Meldeliste!$A$23:$X$24,2,))</f>
        <v>2.S</v>
      </c>
      <c r="F24" s="214" t="str">
        <f>IF(Meldeliste!$A$24="",L33,HLOOKUP(L33,Meldeliste!$A$23:$X$24,2,))</f>
        <v>VT Contwig</v>
      </c>
      <c r="G24" s="215"/>
      <c r="H24" s="214" t="str">
        <f>IF(Meldeliste!$A$28="",H33,HLOOKUP(H33,Meldeliste!$A$27:$X$28,2,))</f>
        <v>1.W</v>
      </c>
      <c r="I24" s="214" t="str">
        <f>IF(Meldeliste!$A$28="",I33,HLOOKUP(I33,Meldeliste!$A$27:$X$28,2,))</f>
        <v>TSV Bayer Leverkusen</v>
      </c>
      <c r="J24" s="215"/>
      <c r="K24" s="214" t="str">
        <f>IF(Meldeliste!$A$28="",K33,HLOOKUP(K33,Meldeliste!$A$27:$X$28,2,))</f>
        <v>2.S</v>
      </c>
      <c r="L24" s="214" t="str">
        <f>IF(Meldeliste!$A$28="",L33,HLOOKUP(L33,Meldeliste!$A$27:$X$28,2,))</f>
        <v>TV Höheischweiler</v>
      </c>
      <c r="M24" s="112"/>
      <c r="N24" s="114">
        <f t="shared" si="0"/>
        <v>0.7083333333333337</v>
      </c>
      <c r="O24" s="114">
        <f t="shared" si="3"/>
        <v>0.017361111111111112</v>
      </c>
      <c r="P24" s="114">
        <f t="shared" si="1"/>
        <v>0.7222222222222228</v>
      </c>
      <c r="Q24" s="114">
        <f t="shared" si="3"/>
        <v>0.017361111111111112</v>
      </c>
      <c r="R24" s="114">
        <f t="shared" si="2"/>
        <v>0.9097222222222232</v>
      </c>
      <c r="S24" s="114">
        <f t="shared" si="5"/>
        <v>0.017361111111111112</v>
      </c>
    </row>
    <row r="25" spans="1:19" ht="12.75">
      <c r="A25" s="111"/>
      <c r="B25" s="214" t="str">
        <f>IF(Meldeliste!$A$24="",H34,HLOOKUP(H34,Meldeliste!$A$23:$X$24,2,))</f>
        <v>1.S</v>
      </c>
      <c r="C25" s="214" t="str">
        <f>IF(Meldeliste!$A$24="",I34,HLOOKUP(I34,Meldeliste!$A$23:$X$24,2,))</f>
        <v>TSV Krumbach</v>
      </c>
      <c r="D25" s="215"/>
      <c r="E25" s="214" t="str">
        <f>IF(Meldeliste!$A$24="",K34,HLOOKUP(K34,Meldeliste!$A$23:$X$24,2,))</f>
        <v>2.W</v>
      </c>
      <c r="F25" s="214" t="str">
        <f>IF(Meldeliste!$A$24="",L34,HLOOKUP(L34,Meldeliste!$A$23:$X$24,2,))</f>
        <v>TuS Ferndorf</v>
      </c>
      <c r="G25" s="215"/>
      <c r="H25" s="214" t="str">
        <f>IF(Meldeliste!$A$28="",H34,HLOOKUP(H34,Meldeliste!$A$27:$X$28,2,))</f>
        <v>1.S</v>
      </c>
      <c r="I25" s="214" t="str">
        <f>IF(Meldeliste!$A$28="",I34,HLOOKUP(I34,Meldeliste!$A$27:$X$28,2,))</f>
        <v>TSG Eisenberg</v>
      </c>
      <c r="J25" s="215"/>
      <c r="K25" s="214" t="str">
        <f>IF(Meldeliste!$A$28="",K34,HLOOKUP(K34,Meldeliste!$A$27:$X$28,2,))</f>
        <v>2.W</v>
      </c>
      <c r="L25" s="214" t="str">
        <f>IF(Meldeliste!$A$28="",L34,HLOOKUP(L34,Meldeliste!$A$27:$X$28,2,))</f>
        <v>TV Niederschelden</v>
      </c>
      <c r="M25" s="112"/>
      <c r="N25" s="114">
        <f t="shared" si="0"/>
        <v>0.7256944444444449</v>
      </c>
      <c r="O25" s="114">
        <f t="shared" si="3"/>
        <v>0.017361111111111112</v>
      </c>
      <c r="P25" s="114">
        <f t="shared" si="1"/>
        <v>0.7395833333333339</v>
      </c>
      <c r="Q25" s="114">
        <f t="shared" si="3"/>
        <v>0.017361111111111112</v>
      </c>
      <c r="R25" s="114">
        <f t="shared" si="2"/>
        <v>0.9270833333333344</v>
      </c>
      <c r="S25" s="114">
        <f t="shared" si="5"/>
        <v>0.017361111111111112</v>
      </c>
    </row>
    <row r="26" spans="1:19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114">
        <f t="shared" si="0"/>
        <v>0.743055555555556</v>
      </c>
      <c r="O26" s="114">
        <f t="shared" si="3"/>
        <v>0.017361111111111112</v>
      </c>
      <c r="P26" s="114">
        <f t="shared" si="1"/>
        <v>0.7569444444444451</v>
      </c>
      <c r="Q26" s="114">
        <f t="shared" si="3"/>
        <v>0.017361111111111112</v>
      </c>
      <c r="R26" s="114">
        <f t="shared" si="2"/>
        <v>0.9444444444444455</v>
      </c>
      <c r="S26" s="114">
        <f t="shared" si="5"/>
        <v>0.017361111111111112</v>
      </c>
    </row>
    <row r="27" spans="1:19" ht="12.75">
      <c r="A27" s="111"/>
      <c r="B27" s="111"/>
      <c r="C27" s="112" t="s">
        <v>18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4">
        <f t="shared" si="0"/>
        <v>0.7604166666666672</v>
      </c>
      <c r="O27" s="114">
        <f t="shared" si="3"/>
        <v>0.017361111111111112</v>
      </c>
      <c r="P27" s="114">
        <f t="shared" si="1"/>
        <v>0.7743055555555562</v>
      </c>
      <c r="Q27" s="114">
        <f t="shared" si="3"/>
        <v>0.017361111111111112</v>
      </c>
      <c r="R27" s="114">
        <f t="shared" si="2"/>
        <v>0.9618055555555567</v>
      </c>
      <c r="S27" s="114">
        <f t="shared" si="5"/>
        <v>0.017361111111111112</v>
      </c>
    </row>
    <row r="28" spans="1:19" ht="12.75">
      <c r="A28" s="111"/>
      <c r="B28" s="111"/>
      <c r="C28" s="112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114">
        <f t="shared" si="0"/>
        <v>0.7777777777777783</v>
      </c>
      <c r="O28" s="114">
        <f t="shared" si="3"/>
        <v>0.017361111111111112</v>
      </c>
      <c r="P28" s="114">
        <f t="shared" si="1"/>
        <v>0.7916666666666674</v>
      </c>
      <c r="Q28" s="114">
        <f t="shared" si="3"/>
        <v>0.017361111111111112</v>
      </c>
      <c r="R28" s="114">
        <f t="shared" si="2"/>
        <v>0.9791666666666679</v>
      </c>
      <c r="S28" s="114">
        <f t="shared" si="5"/>
        <v>0.017361111111111112</v>
      </c>
    </row>
    <row r="29" spans="1:19" ht="12.75">
      <c r="A29" s="112"/>
      <c r="B29" s="112"/>
      <c r="C29" s="112"/>
      <c r="D29" s="112"/>
      <c r="E29" s="112"/>
      <c r="F29" s="112"/>
      <c r="G29" s="112"/>
      <c r="H29" s="112"/>
      <c r="I29" s="113" t="s">
        <v>17</v>
      </c>
      <c r="J29" s="113"/>
      <c r="K29" s="113"/>
      <c r="L29" s="113"/>
      <c r="M29" s="112"/>
      <c r="N29" s="114">
        <f t="shared" si="0"/>
        <v>0.7951388888888895</v>
      </c>
      <c r="O29" s="114">
        <f t="shared" si="3"/>
        <v>0.017361111111111112</v>
      </c>
      <c r="P29" s="114">
        <f t="shared" si="1"/>
        <v>0.8090277777777786</v>
      </c>
      <c r="Q29" s="114">
        <f t="shared" si="3"/>
        <v>0.017361111111111112</v>
      </c>
      <c r="R29" s="114">
        <f t="shared" si="2"/>
        <v>0.996527777777779</v>
      </c>
      <c r="S29" s="114">
        <f t="shared" si="5"/>
        <v>0.017361111111111112</v>
      </c>
    </row>
    <row r="30" spans="1:19" ht="12.75">
      <c r="A30" s="112"/>
      <c r="B30" s="112"/>
      <c r="C30" s="112"/>
      <c r="D30" s="112"/>
      <c r="E30" s="112"/>
      <c r="F30" s="112"/>
      <c r="G30" s="112"/>
      <c r="H30" s="217" t="str">
        <f>MID(I30,1,4)</f>
        <v>4. N</v>
      </c>
      <c r="I30" s="223" t="s">
        <v>115</v>
      </c>
      <c r="J30" s="111"/>
      <c r="K30" s="217" t="str">
        <f>MID(L30,1,4)</f>
        <v>3. N</v>
      </c>
      <c r="L30" s="143" t="s">
        <v>62</v>
      </c>
      <c r="M30" s="143"/>
      <c r="N30" s="112"/>
      <c r="O30" s="112"/>
      <c r="P30" s="112"/>
      <c r="Q30" s="112"/>
      <c r="R30" s="112"/>
      <c r="S30" s="112"/>
    </row>
    <row r="31" spans="1:19" ht="12.75">
      <c r="A31" s="119" t="s">
        <v>131</v>
      </c>
      <c r="B31" s="1"/>
      <c r="C31" s="1"/>
      <c r="D31" s="112"/>
      <c r="E31" s="112"/>
      <c r="F31" s="112"/>
      <c r="G31" s="112"/>
      <c r="H31" s="217" t="str">
        <f>MID(I31,1,4)</f>
        <v>2. N</v>
      </c>
      <c r="I31" s="223" t="s">
        <v>65</v>
      </c>
      <c r="J31" s="111"/>
      <c r="K31" s="217" t="str">
        <f>MID(L31,1,4)</f>
        <v>1. N</v>
      </c>
      <c r="L31" s="143" t="s">
        <v>61</v>
      </c>
      <c r="M31" s="143"/>
      <c r="N31" s="112"/>
      <c r="O31" s="112"/>
      <c r="P31" s="112"/>
      <c r="Q31" s="112"/>
      <c r="R31" s="112"/>
      <c r="S31" s="112"/>
    </row>
    <row r="32" spans="1:19" ht="12.75">
      <c r="A32" s="120" t="s">
        <v>132</v>
      </c>
      <c r="B32" s="1"/>
      <c r="C32" s="1"/>
      <c r="D32" s="112"/>
      <c r="E32" s="112"/>
      <c r="F32" s="112"/>
      <c r="G32" s="112"/>
      <c r="H32" s="217" t="str">
        <f>MID(I32,1,4)</f>
        <v>3. W</v>
      </c>
      <c r="I32" s="223" t="s">
        <v>78</v>
      </c>
      <c r="J32" s="111"/>
      <c r="K32" s="217" t="str">
        <f>MID(L32,1,4)</f>
        <v>3. S</v>
      </c>
      <c r="L32" s="143" t="s">
        <v>60</v>
      </c>
      <c r="M32" s="143"/>
      <c r="N32" s="112"/>
      <c r="O32" s="112"/>
      <c r="P32" s="112"/>
      <c r="Q32" s="112"/>
      <c r="R32" s="112"/>
      <c r="S32" s="112"/>
    </row>
    <row r="33" spans="1:19" ht="12.75">
      <c r="A33" s="121" t="s">
        <v>133</v>
      </c>
      <c r="B33" s="1"/>
      <c r="C33" s="1"/>
      <c r="D33" s="112"/>
      <c r="E33" s="112"/>
      <c r="F33" s="112"/>
      <c r="G33" s="112"/>
      <c r="H33" s="217" t="str">
        <f>MID(I33,1,4)</f>
        <v>1. W</v>
      </c>
      <c r="I33" s="223" t="s">
        <v>77</v>
      </c>
      <c r="J33" s="111"/>
      <c r="K33" s="217" t="str">
        <f>MID(L33,1,4)</f>
        <v>2. S</v>
      </c>
      <c r="L33" s="143" t="s">
        <v>64</v>
      </c>
      <c r="M33" s="143"/>
      <c r="N33" s="112"/>
      <c r="O33" s="112"/>
      <c r="P33" s="112"/>
      <c r="Q33" s="112"/>
      <c r="R33" s="112"/>
      <c r="S33" s="112"/>
    </row>
    <row r="34" spans="1:19" ht="12.75">
      <c r="A34" s="119" t="s">
        <v>74</v>
      </c>
      <c r="B34" s="1"/>
      <c r="C34" s="1"/>
      <c r="D34" s="112"/>
      <c r="E34" s="112"/>
      <c r="F34" s="112"/>
      <c r="G34" s="112"/>
      <c r="H34" s="217" t="str">
        <f>MID(I34,1,4)</f>
        <v>1. S</v>
      </c>
      <c r="I34" s="223" t="s">
        <v>59</v>
      </c>
      <c r="J34" s="111"/>
      <c r="K34" s="217" t="str">
        <f>MID(L34,1,4)</f>
        <v>2. W</v>
      </c>
      <c r="L34" s="143" t="s">
        <v>63</v>
      </c>
      <c r="M34" s="143"/>
      <c r="N34" s="112" t="s">
        <v>147</v>
      </c>
      <c r="O34" s="1" t="s">
        <v>148</v>
      </c>
      <c r="P34" s="1"/>
      <c r="Q34" s="1"/>
      <c r="R34" s="1"/>
      <c r="S34" s="112"/>
    </row>
    <row r="35" spans="1:19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 t="s">
        <v>117</v>
      </c>
      <c r="O35" s="1" t="s">
        <v>149</v>
      </c>
      <c r="P35" s="1"/>
      <c r="Q35" s="1"/>
      <c r="R35" s="1"/>
      <c r="S35" s="112"/>
    </row>
    <row r="36" spans="1:19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4"/>
      <c r="B38" s="4"/>
      <c r="C38" s="134"/>
      <c r="D38" s="4"/>
      <c r="E38" s="4"/>
      <c r="F38" s="122"/>
      <c r="G38" s="4"/>
      <c r="H38" s="4"/>
      <c r="I38" s="122"/>
      <c r="J38" s="4"/>
      <c r="K38" s="1"/>
      <c r="L38" s="1"/>
      <c r="M38" s="1"/>
      <c r="N38" s="1"/>
      <c r="O38" s="1"/>
      <c r="P38" s="1"/>
      <c r="Q38" s="1"/>
    </row>
    <row r="39" spans="1:17" ht="12.75">
      <c r="A39" s="4"/>
      <c r="B39" s="4"/>
      <c r="C39" s="134"/>
      <c r="D39" s="4"/>
      <c r="E39" s="4"/>
      <c r="F39" s="122"/>
      <c r="G39" s="4"/>
      <c r="H39" s="4"/>
      <c r="I39" s="122"/>
      <c r="J39" s="4"/>
      <c r="K39" s="1"/>
      <c r="L39" s="1"/>
      <c r="M39" s="1"/>
      <c r="N39" s="1"/>
      <c r="O39" s="1"/>
      <c r="P39" s="1"/>
      <c r="Q39" s="1"/>
    </row>
    <row r="40" spans="1:17" ht="12.75">
      <c r="A40" s="4"/>
      <c r="B40" s="4"/>
      <c r="C40" s="134"/>
      <c r="D40" s="4"/>
      <c r="E40" s="4"/>
      <c r="F40" s="122"/>
      <c r="G40" s="4"/>
      <c r="H40" s="4"/>
      <c r="I40" s="122"/>
      <c r="J40" s="4"/>
      <c r="K40" s="1"/>
      <c r="L40" s="1"/>
      <c r="M40" s="1"/>
      <c r="N40" s="1"/>
      <c r="O40" s="1"/>
      <c r="P40" s="1"/>
      <c r="Q40" s="1"/>
    </row>
    <row r="41" spans="1:17" ht="12.75">
      <c r="A41" s="4"/>
      <c r="B41" s="4"/>
      <c r="C41" s="134"/>
      <c r="D41" s="4"/>
      <c r="E41" s="4"/>
      <c r="F41" s="122"/>
      <c r="G41" s="4"/>
      <c r="H41" s="4"/>
      <c r="I41" s="122"/>
      <c r="J41" s="4"/>
      <c r="K41" s="1"/>
      <c r="L41" s="1"/>
      <c r="M41" s="1"/>
      <c r="N41" s="1"/>
      <c r="O41" s="1"/>
      <c r="P41" s="1"/>
      <c r="Q41" s="1"/>
    </row>
    <row r="42" spans="1:17" ht="12.75">
      <c r="A42" s="4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4"/>
      <c r="B43" s="4"/>
      <c r="C43" s="134"/>
      <c r="D43" s="4"/>
      <c r="E43" s="4"/>
      <c r="F43" s="122"/>
      <c r="G43" s="4"/>
      <c r="H43" s="4"/>
      <c r="I43" s="122"/>
      <c r="J43" s="4"/>
      <c r="K43" s="1"/>
      <c r="L43" s="1"/>
      <c r="M43" s="1"/>
      <c r="N43" s="1"/>
      <c r="O43" s="1"/>
      <c r="P43" s="1"/>
      <c r="Q43" s="1"/>
    </row>
    <row r="44" spans="1:17" ht="12.75">
      <c r="A44" s="4"/>
      <c r="B44" s="4"/>
      <c r="C44" s="134"/>
      <c r="D44" s="4"/>
      <c r="E44" s="4"/>
      <c r="F44" s="122"/>
      <c r="G44" s="4"/>
      <c r="H44" s="4"/>
      <c r="I44" s="122"/>
      <c r="J44" s="4"/>
      <c r="K44" s="1"/>
      <c r="L44" s="1"/>
      <c r="M44" s="1"/>
      <c r="N44" s="1"/>
      <c r="O44" s="1"/>
      <c r="P44" s="1"/>
      <c r="Q44" s="1"/>
    </row>
    <row r="45" spans="1:17" ht="12.75">
      <c r="A45" s="4"/>
      <c r="B45" s="4"/>
      <c r="C45" s="134"/>
      <c r="D45" s="4"/>
      <c r="E45" s="4"/>
      <c r="F45" s="122"/>
      <c r="G45" s="4"/>
      <c r="H45" s="4"/>
      <c r="I45" s="122"/>
      <c r="J45" s="4"/>
      <c r="K45" s="1"/>
      <c r="L45" s="1"/>
      <c r="M45" s="1"/>
      <c r="N45" s="1"/>
      <c r="O45" s="1"/>
      <c r="P45" s="1"/>
      <c r="Q45" s="1"/>
    </row>
    <row r="46" spans="1:17" ht="12.75">
      <c r="A46" s="4"/>
      <c r="B46" s="4"/>
      <c r="C46" s="134"/>
      <c r="D46" s="4"/>
      <c r="E46" s="4"/>
      <c r="F46" s="122"/>
      <c r="G46" s="4"/>
      <c r="H46" s="4"/>
      <c r="I46" s="122"/>
      <c r="J46" s="4"/>
      <c r="K46" s="1"/>
      <c r="L46" s="1"/>
      <c r="M46" s="1"/>
      <c r="N46" s="1"/>
      <c r="O46" s="1"/>
      <c r="P46" s="1"/>
      <c r="Q46" s="1"/>
    </row>
    <row r="47" spans="1:17" ht="12.75">
      <c r="A47" s="4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4"/>
      <c r="B48" s="4"/>
      <c r="C48" s="134"/>
      <c r="D48" s="4"/>
      <c r="E48" s="4"/>
      <c r="F48" s="122"/>
      <c r="G48" s="4"/>
      <c r="H48" s="4"/>
      <c r="I48" s="122"/>
      <c r="J48" s="4"/>
      <c r="K48" s="1"/>
      <c r="L48" s="1"/>
      <c r="M48" s="1"/>
      <c r="N48" s="1"/>
      <c r="O48" s="1"/>
      <c r="P48" s="1"/>
      <c r="Q48" s="1"/>
    </row>
    <row r="49" spans="1:17" ht="12.75">
      <c r="A49" s="4"/>
      <c r="B49" s="4"/>
      <c r="C49" s="134"/>
      <c r="D49" s="4"/>
      <c r="E49" s="4"/>
      <c r="F49" s="122"/>
      <c r="G49" s="4"/>
      <c r="H49" s="4"/>
      <c r="I49" s="122"/>
      <c r="J49" s="4"/>
      <c r="K49" s="1"/>
      <c r="L49" s="1"/>
      <c r="M49" s="1"/>
      <c r="N49" s="1"/>
      <c r="O49" s="1"/>
      <c r="P49" s="1"/>
      <c r="Q49" s="1"/>
    </row>
    <row r="50" spans="1:17" ht="12.75">
      <c r="A50" s="4"/>
      <c r="B50" s="4"/>
      <c r="C50" s="134"/>
      <c r="D50" s="4"/>
      <c r="E50" s="4"/>
      <c r="F50" s="122"/>
      <c r="G50" s="4"/>
      <c r="H50" s="4"/>
      <c r="I50" s="122"/>
      <c r="J50" s="4"/>
      <c r="K50" s="1"/>
      <c r="L50" s="1"/>
      <c r="M50" s="1"/>
      <c r="N50" s="1"/>
      <c r="O50" s="1"/>
      <c r="P50" s="1"/>
      <c r="Q50" s="1"/>
    </row>
    <row r="51" spans="1:17" ht="12.75">
      <c r="A51" s="4"/>
      <c r="B51" s="4"/>
      <c r="C51" s="134"/>
      <c r="D51" s="4"/>
      <c r="E51" s="4"/>
      <c r="F51" s="122"/>
      <c r="G51" s="4"/>
      <c r="H51" s="4"/>
      <c r="I51" s="122"/>
      <c r="J51" s="4"/>
      <c r="K51" s="1"/>
      <c r="L51" s="1"/>
      <c r="M51" s="1"/>
      <c r="N51" s="1"/>
      <c r="O51" s="1"/>
      <c r="P51" s="1"/>
      <c r="Q51" s="1"/>
    </row>
    <row r="52" spans="1:17" ht="12.75">
      <c r="A52" s="4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4"/>
      <c r="B53" s="4"/>
      <c r="C53" s="134"/>
      <c r="D53" s="4"/>
      <c r="E53" s="4"/>
      <c r="F53" s="122"/>
      <c r="G53" s="4"/>
      <c r="H53" s="4"/>
      <c r="I53" s="122"/>
      <c r="J53" s="4"/>
      <c r="K53" s="1"/>
      <c r="L53" s="1"/>
      <c r="M53" s="1"/>
      <c r="N53" s="1"/>
      <c r="O53" s="1"/>
      <c r="P53" s="1"/>
      <c r="Q53" s="1"/>
    </row>
    <row r="54" spans="1:17" ht="12.75">
      <c r="A54" s="4"/>
      <c r="B54" s="4"/>
      <c r="C54" s="134"/>
      <c r="D54" s="4"/>
      <c r="E54" s="4"/>
      <c r="F54" s="122"/>
      <c r="G54" s="4"/>
      <c r="H54" s="4"/>
      <c r="I54" s="122"/>
      <c r="J54" s="4"/>
      <c r="K54" s="1"/>
      <c r="L54" s="1"/>
      <c r="M54" s="1"/>
      <c r="N54" s="1"/>
      <c r="O54" s="1"/>
      <c r="P54" s="1"/>
      <c r="Q54" s="1"/>
    </row>
    <row r="55" spans="1:17" ht="12.75">
      <c r="A55" s="4"/>
      <c r="B55" s="4"/>
      <c r="C55" s="122"/>
      <c r="D55" s="4"/>
      <c r="E55" s="4"/>
      <c r="F55" s="122"/>
      <c r="G55" s="4"/>
      <c r="H55" s="4"/>
      <c r="I55" s="122"/>
      <c r="J55" s="4"/>
      <c r="K55" s="1"/>
      <c r="L55" s="1"/>
      <c r="M55" s="1"/>
      <c r="N55" s="1"/>
      <c r="O55" s="1"/>
      <c r="P55" s="1"/>
      <c r="Q55" s="1"/>
    </row>
    <row r="56" spans="1:17" ht="12.75">
      <c r="A56" s="4"/>
      <c r="B56" s="4"/>
      <c r="C56" s="134"/>
      <c r="D56" s="4"/>
      <c r="E56" s="4"/>
      <c r="F56" s="122"/>
      <c r="G56" s="4"/>
      <c r="H56" s="4"/>
      <c r="I56" s="122"/>
      <c r="J56" s="4"/>
      <c r="K56" s="1"/>
      <c r="L56" s="1"/>
      <c r="M56" s="1"/>
      <c r="N56" s="1"/>
      <c r="O56" s="1"/>
      <c r="P56" s="1"/>
      <c r="Q56" s="1"/>
    </row>
    <row r="57" spans="1:17" ht="12.75">
      <c r="A57" s="4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4"/>
      <c r="B58" s="4"/>
      <c r="C58" s="4"/>
      <c r="D58" s="4"/>
      <c r="E58" s="4"/>
      <c r="F58" s="122"/>
      <c r="G58" s="4"/>
      <c r="H58" s="4"/>
      <c r="I58" s="122"/>
      <c r="J58" s="4"/>
      <c r="K58" s="1"/>
      <c r="L58" s="1"/>
      <c r="M58" s="1"/>
      <c r="N58" s="1"/>
      <c r="O58" s="1"/>
      <c r="P58" s="1"/>
      <c r="Q58" s="1"/>
    </row>
    <row r="59" spans="1:17" ht="12.75">
      <c r="A59" s="4"/>
      <c r="B59" s="4"/>
      <c r="C59" s="134"/>
      <c r="D59" s="4"/>
      <c r="E59" s="4"/>
      <c r="F59" s="122"/>
      <c r="G59" s="4"/>
      <c r="H59" s="4"/>
      <c r="I59" s="122"/>
      <c r="J59" s="4"/>
      <c r="K59" s="1"/>
      <c r="L59" s="1"/>
      <c r="M59" s="1"/>
      <c r="N59" s="1"/>
      <c r="O59" s="1"/>
      <c r="P59" s="1"/>
      <c r="Q59" s="1"/>
    </row>
    <row r="60" spans="1:17" ht="12.75">
      <c r="A60" s="4"/>
      <c r="B60" s="4"/>
      <c r="C60" s="134"/>
      <c r="D60" s="4"/>
      <c r="E60" s="4"/>
      <c r="F60" s="122"/>
      <c r="G60" s="4"/>
      <c r="H60" s="4"/>
      <c r="I60" s="122"/>
      <c r="J60" s="4"/>
      <c r="K60" s="1"/>
      <c r="L60" s="1"/>
      <c r="M60" s="1"/>
      <c r="N60" s="1"/>
      <c r="O60" s="1"/>
      <c r="P60" s="1"/>
      <c r="Q60" s="1"/>
    </row>
    <row r="61" spans="1:17" ht="12.75">
      <c r="A61" s="4"/>
      <c r="B61" s="4"/>
      <c r="C61" s="134"/>
      <c r="D61" s="4"/>
      <c r="E61" s="4"/>
      <c r="F61" s="122"/>
      <c r="G61" s="4"/>
      <c r="H61" s="4"/>
      <c r="I61" s="122"/>
      <c r="J61" s="4"/>
      <c r="K61" s="1"/>
      <c r="L61" s="1"/>
      <c r="M61" s="1"/>
      <c r="N61" s="1"/>
      <c r="O61" s="1"/>
      <c r="P61" s="1"/>
      <c r="Q61" s="1"/>
    </row>
    <row r="62" spans="1:17" ht="12.75">
      <c r="A62" s="4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1"/>
      <c r="L64" s="1"/>
      <c r="M64" s="1"/>
      <c r="N64" s="1"/>
      <c r="O64" s="1"/>
      <c r="P64" s="1"/>
      <c r="Q64" s="1"/>
    </row>
    <row r="65" spans="1:17" ht="12.75">
      <c r="A65" s="4"/>
      <c r="B65" s="4"/>
      <c r="C65" s="4"/>
      <c r="D65" s="4"/>
      <c r="E65" s="4"/>
      <c r="F65" s="122"/>
      <c r="G65" s="4"/>
      <c r="H65" s="4"/>
      <c r="I65" s="4"/>
      <c r="J65" s="4"/>
      <c r="K65" s="1"/>
      <c r="L65" s="1"/>
      <c r="M65" s="1"/>
      <c r="N65" s="1"/>
      <c r="O65" s="1"/>
      <c r="P65" s="1"/>
      <c r="Q65" s="1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N66" s="1"/>
      <c r="O66" s="1"/>
      <c r="P66" s="1"/>
      <c r="Q66" s="1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</row>
    <row r="68" spans="1:9" ht="12.75">
      <c r="A68" s="3"/>
      <c r="B68" s="3"/>
      <c r="C68" s="3"/>
      <c r="D68" s="3"/>
      <c r="E68" s="3"/>
      <c r="F68" s="4"/>
      <c r="G68" s="4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&amp;C&amp;A</oddHeader>
    <oddFooter>&amp;CSeite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0"/>
  <sheetViews>
    <sheetView workbookViewId="0" topLeftCell="B37">
      <selection activeCell="Q22" sqref="Q22:S117"/>
    </sheetView>
  </sheetViews>
  <sheetFormatPr defaultColWidth="11.421875" defaultRowHeight="12.75" outlineLevelRow="1" outlineLevelCol="1"/>
  <cols>
    <col min="1" max="1" width="3.00390625" style="145" hidden="1" customWidth="1" outlineLevel="1"/>
    <col min="2" max="2" width="3.7109375" style="144" customWidth="1" collapsed="1"/>
    <col min="3" max="3" width="4.8515625" style="144" customWidth="1"/>
    <col min="4" max="4" width="3.28125" style="144" customWidth="1"/>
    <col min="5" max="5" width="4.140625" style="144" customWidth="1"/>
    <col min="6" max="6" width="3.140625" style="144" customWidth="1"/>
    <col min="7" max="7" width="2.7109375" style="144" hidden="1" customWidth="1" outlineLevel="1"/>
    <col min="8" max="8" width="17.7109375" style="144" customWidth="1" collapsed="1"/>
    <col min="9" max="9" width="1.421875" style="144" customWidth="1"/>
    <col min="10" max="10" width="3.140625" style="144" customWidth="1"/>
    <col min="11" max="11" width="2.7109375" style="144" hidden="1" customWidth="1" outlineLevel="1"/>
    <col min="12" max="12" width="17.7109375" style="144" customWidth="1" collapsed="1"/>
    <col min="13" max="13" width="3.140625" style="144" customWidth="1"/>
    <col min="14" max="14" width="2.7109375" style="144" hidden="1" customWidth="1" outlineLevel="1"/>
    <col min="15" max="15" width="17.7109375" style="144" customWidth="1" collapsed="1"/>
    <col min="16" max="16" width="4.8515625" style="146" customWidth="1" outlineLevel="1"/>
    <col min="17" max="17" width="2.7109375" style="144" customWidth="1" outlineLevel="1"/>
    <col min="18" max="18" width="1.421875" style="144" customWidth="1" outlineLevel="1"/>
    <col min="19" max="20" width="2.7109375" style="144" customWidth="1" outlineLevel="1"/>
    <col min="21" max="21" width="1.421875" style="144" customWidth="1" outlineLevel="1"/>
    <col min="22" max="22" width="2.7109375" style="144" customWidth="1" outlineLevel="1"/>
    <col min="23" max="23" width="0.71875" style="144" customWidth="1"/>
    <col min="24" max="25" width="8.28125" style="144" customWidth="1" outlineLevel="1"/>
    <col min="26" max="26" width="1.8515625" style="145" customWidth="1"/>
    <col min="27" max="27" width="5.8515625" style="145" bestFit="1" customWidth="1"/>
    <col min="28" max="28" width="2.7109375" style="144" bestFit="1" customWidth="1"/>
    <col min="29" max="29" width="6.8515625" style="145" bestFit="1" customWidth="1"/>
    <col min="30" max="16384" width="11.421875" style="144" customWidth="1"/>
  </cols>
  <sheetData>
    <row r="1" spans="1:29" s="177" customFormat="1" ht="18.75" customHeight="1">
      <c r="A1" s="181"/>
      <c r="B1" s="178" t="str">
        <f>Daten!A1&amp;" "&amp;Daten!B1&amp;" "&amp;Daten!L1</f>
        <v>43. Deutsche Prellball Meisterschaften der Seniorinnen und Senioren 2006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  <c r="Q1" s="179"/>
      <c r="R1" s="179"/>
      <c r="S1" s="179"/>
      <c r="T1" s="179"/>
      <c r="U1" s="179"/>
      <c r="V1" s="179"/>
      <c r="W1" s="179"/>
      <c r="X1" s="179"/>
      <c r="Y1" s="179"/>
      <c r="Z1" s="181"/>
      <c r="AA1" s="181"/>
      <c r="AC1" s="181"/>
    </row>
    <row r="2" spans="1:29" s="177" customFormat="1" ht="19.5" customHeight="1">
      <c r="A2" s="181"/>
      <c r="C2" s="187" t="s">
        <v>76</v>
      </c>
      <c r="H2" s="195" t="str">
        <f>+Daten!A32</f>
        <v>29.04.2006</v>
      </c>
      <c r="L2" s="201" t="str">
        <f>+Daten!O34</f>
        <v>Schulzentrum, Berliner Ring 27</v>
      </c>
      <c r="P2" s="188"/>
      <c r="Z2" s="181"/>
      <c r="AA2" s="181"/>
      <c r="AC2" s="181"/>
    </row>
    <row r="3" spans="2:32" ht="12.75" hidden="1" outlineLevel="1">
      <c r="B3" s="145" t="s">
        <v>19</v>
      </c>
      <c r="C3" s="145"/>
      <c r="D3" s="145"/>
      <c r="E3" s="145"/>
      <c r="F3" s="145"/>
      <c r="G3" s="145"/>
      <c r="H3" s="145" t="s">
        <v>21</v>
      </c>
      <c r="I3" s="145"/>
      <c r="J3" s="145"/>
      <c r="K3" s="145"/>
      <c r="L3" s="145" t="s">
        <v>22</v>
      </c>
      <c r="M3" s="145"/>
      <c r="N3" s="145"/>
      <c r="O3" s="145" t="s">
        <v>20</v>
      </c>
      <c r="P3" s="147" t="s">
        <v>69</v>
      </c>
      <c r="Q3" s="145"/>
      <c r="R3" s="145"/>
      <c r="S3" s="145"/>
      <c r="T3" s="145"/>
      <c r="U3" s="145"/>
      <c r="V3" s="145"/>
      <c r="W3" s="145"/>
      <c r="X3" s="145" t="s">
        <v>23</v>
      </c>
      <c r="Y3" s="145"/>
      <c r="AA3" s="145" t="s">
        <v>103</v>
      </c>
      <c r="AC3" s="145" t="s">
        <v>104</v>
      </c>
      <c r="AD3" s="144" t="s">
        <v>105</v>
      </c>
      <c r="AE3" s="145" t="s">
        <v>106</v>
      </c>
      <c r="AF3" s="145" t="s">
        <v>102</v>
      </c>
    </row>
    <row r="4" spans="1:32" ht="12.75" hidden="1" outlineLevel="1">
      <c r="A4" s="145">
        <v>1</v>
      </c>
      <c r="B4" s="145" t="str">
        <f>IF(Daten!C5="","",Daten!C5)</f>
        <v>TV Kleefeld</v>
      </c>
      <c r="C4" s="145"/>
      <c r="D4" s="145"/>
      <c r="E4" s="145"/>
      <c r="F4" s="145"/>
      <c r="G4" s="145"/>
      <c r="H4" s="145" t="str">
        <f>IF(Daten!C13="","",Daten!C13)</f>
        <v>TSV Burgdorf</v>
      </c>
      <c r="I4" s="145"/>
      <c r="J4" s="145"/>
      <c r="K4" s="145"/>
      <c r="L4" s="145" t="str">
        <f>IF(Daten!I5="","",Daten!I5)</f>
        <v>VfL Oldenburg</v>
      </c>
      <c r="M4" s="145"/>
      <c r="N4" s="145"/>
      <c r="O4" s="145" t="str">
        <f>IF(Daten!I13="","",Daten!I13)</f>
        <v>VfK 1901 Berlin</v>
      </c>
      <c r="P4" s="147" t="str">
        <f>IF(Daten!I21="","",Daten!I21)</f>
        <v>VfL Oldenburg</v>
      </c>
      <c r="Q4" s="145"/>
      <c r="R4" s="145"/>
      <c r="S4" s="145"/>
      <c r="T4" s="145"/>
      <c r="U4" s="145"/>
      <c r="V4" s="145"/>
      <c r="W4" s="145"/>
      <c r="X4" s="145" t="str">
        <f>IF(Daten!C21="","",Daten!C21)</f>
        <v>SC Wentorf</v>
      </c>
      <c r="Y4" s="145"/>
      <c r="AA4" s="145" t="str">
        <f>+'Frauen 40'!AB5</f>
        <v>Barmer TG</v>
      </c>
      <c r="AC4" s="145" t="str">
        <f>+'Männer 40'!AB5</f>
        <v>TV Berkenbaum</v>
      </c>
      <c r="AD4" s="144" t="str">
        <f>+'Frauen 30'!AB5</f>
        <v>TSV Radevormwald</v>
      </c>
      <c r="AE4" s="144" t="str">
        <f>+'Männer 50'!AB5</f>
        <v>TV Viersen</v>
      </c>
      <c r="AF4" s="144" t="str">
        <f>+'Männer 30'!AB5</f>
        <v>TSV Krumbach</v>
      </c>
    </row>
    <row r="5" spans="1:32" ht="12.75" hidden="1" outlineLevel="1">
      <c r="A5" s="145">
        <v>2</v>
      </c>
      <c r="B5" s="145" t="str">
        <f>IF(Daten!C6="","",Daten!C6)</f>
        <v>SV Werder Bremen</v>
      </c>
      <c r="C5" s="145"/>
      <c r="D5" s="145"/>
      <c r="E5" s="145"/>
      <c r="F5" s="145"/>
      <c r="G5" s="145"/>
      <c r="H5" s="145" t="str">
        <f>IF(Daten!C14="","",Daten!C14)</f>
        <v>TSV Kirchdorf</v>
      </c>
      <c r="I5" s="145"/>
      <c r="J5" s="145"/>
      <c r="K5" s="145"/>
      <c r="L5" s="145" t="str">
        <f>IF(Daten!I6="","",Daten!I6)</f>
        <v>MTV Itzehoe</v>
      </c>
      <c r="M5" s="145"/>
      <c r="N5" s="145"/>
      <c r="O5" s="145" t="str">
        <f>IF(Daten!I14="","",Daten!I14)</f>
        <v>MTV Eiche Schönebeck</v>
      </c>
      <c r="P5" s="147" t="str">
        <f>IF(Daten!I22="","",Daten!I22)</f>
        <v>TV Bremen 1875</v>
      </c>
      <c r="Q5" s="145"/>
      <c r="R5" s="145"/>
      <c r="S5" s="145"/>
      <c r="T5" s="145"/>
      <c r="U5" s="145"/>
      <c r="V5" s="145"/>
      <c r="W5" s="145"/>
      <c r="X5" s="145" t="str">
        <f>IF(Daten!C22="","",Daten!C22)</f>
        <v>SF Ricklingen</v>
      </c>
      <c r="Y5" s="145"/>
      <c r="AA5" s="145" t="str">
        <f>+'Frauen 40'!AB7</f>
        <v>TSV Ludwigshafen</v>
      </c>
      <c r="AC5" s="145" t="str">
        <f>+'Männer 40'!AB7</f>
        <v>TV Wertheim</v>
      </c>
      <c r="AD5" s="144" t="str">
        <f>+'Frauen 30'!AB7</f>
        <v>MTV Eiche Schönebeck</v>
      </c>
      <c r="AE5" s="144" t="str">
        <f>+'Männer 50'!AB7</f>
        <v>SF Ricklingen</v>
      </c>
      <c r="AF5" s="144" t="str">
        <f>+'Männer 30'!AB7</f>
        <v>TV Kleefeld</v>
      </c>
    </row>
    <row r="6" spans="1:32" ht="12.75" hidden="1" outlineLevel="1">
      <c r="A6" s="145">
        <v>3</v>
      </c>
      <c r="B6" s="145" t="str">
        <f>IF(Daten!C7="","",Daten!C7)</f>
        <v>TB Hückeswagen</v>
      </c>
      <c r="C6" s="145"/>
      <c r="D6" s="145"/>
      <c r="E6" s="145"/>
      <c r="F6" s="145"/>
      <c r="G6" s="145"/>
      <c r="H6" s="145" t="str">
        <f>IF(Daten!C15="","",Daten!C15)</f>
        <v>PV Gundernhausen</v>
      </c>
      <c r="I6" s="145"/>
      <c r="J6" s="145"/>
      <c r="K6" s="145"/>
      <c r="L6" s="145" t="str">
        <f>IF(Daten!I7="","",Daten!I7)</f>
        <v>TV Berkenbaum</v>
      </c>
      <c r="M6" s="145"/>
      <c r="N6" s="145"/>
      <c r="O6" s="145" t="str">
        <f>IF(Daten!I15="","",Daten!I15)</f>
        <v>3. West</v>
      </c>
      <c r="P6" s="147" t="str">
        <f>IF(Daten!I23="","",Daten!I23)</f>
        <v>Eiserfelder TV</v>
      </c>
      <c r="Q6" s="145"/>
      <c r="R6" s="145"/>
      <c r="S6" s="145"/>
      <c r="T6" s="145"/>
      <c r="U6" s="145"/>
      <c r="V6" s="145"/>
      <c r="W6" s="145"/>
      <c r="X6" s="145" t="str">
        <f>IF(Daten!C23="","",Daten!C23)</f>
        <v>Haaner TB</v>
      </c>
      <c r="Y6" s="145"/>
      <c r="AA6" s="145" t="str">
        <f>+'Frauen 40'!AB9</f>
        <v>MTV Itzehoe</v>
      </c>
      <c r="AC6" s="145" t="str">
        <f>+'Männer 40'!AB9</f>
        <v>TSV Burgdorf</v>
      </c>
      <c r="AD6" s="144" t="str">
        <f>+'Frauen 30'!AB9</f>
        <v>TV Edingen</v>
      </c>
      <c r="AE6" s="144" t="str">
        <f>+'Männer 50'!AB9</f>
        <v>TSV Krumbach</v>
      </c>
      <c r="AF6" s="144" t="str">
        <f>+'Männer 30'!AB9</f>
        <v>TV Kierdorf</v>
      </c>
    </row>
    <row r="7" spans="1:32" ht="12.75" hidden="1" outlineLevel="1">
      <c r="A7" s="145">
        <v>4</v>
      </c>
      <c r="B7" s="145" t="str">
        <f>IF(Daten!C8="","",Daten!C8)</f>
        <v>TV Kierdorf</v>
      </c>
      <c r="C7" s="145"/>
      <c r="D7" s="145"/>
      <c r="E7" s="145"/>
      <c r="F7" s="145"/>
      <c r="G7" s="145"/>
      <c r="H7" s="145" t="str">
        <f>IF(Daten!C16="","",Daten!C16)</f>
        <v>TV Berkenbaum</v>
      </c>
      <c r="I7" s="145"/>
      <c r="J7" s="145"/>
      <c r="K7" s="145"/>
      <c r="L7" s="145" t="str">
        <f>IF(Daten!I8="","",Daten!I8)</f>
        <v>Barmer TG</v>
      </c>
      <c r="M7" s="145"/>
      <c r="N7" s="145"/>
      <c r="O7" s="145" t="str">
        <f>IF(Daten!I16="","",Daten!I16)</f>
        <v>TSV Radevormwald</v>
      </c>
      <c r="P7" s="147" t="str">
        <f>IF(Daten!I24="","",Daten!I24)</f>
        <v>TSV Bayer Leverkusen</v>
      </c>
      <c r="Q7" s="145"/>
      <c r="R7" s="145"/>
      <c r="S7" s="145"/>
      <c r="T7" s="145"/>
      <c r="U7" s="145"/>
      <c r="V7" s="145"/>
      <c r="W7" s="145"/>
      <c r="X7" s="145" t="str">
        <f>IF(Daten!C24="","",Daten!C24)</f>
        <v>TV Viersen</v>
      </c>
      <c r="Y7" s="145"/>
      <c r="AA7" s="145" t="str">
        <f>+'Frauen 40'!AB11</f>
        <v>TV Berkenbaum</v>
      </c>
      <c r="AC7" s="145" t="str">
        <f>+'Männer 40'!AB11</f>
        <v>TSV Kirchdorf</v>
      </c>
      <c r="AD7" s="144" t="str">
        <f>+'Frauen 30'!AB11</f>
        <v>VfK 1901 Berlin</v>
      </c>
      <c r="AE7" s="144" t="str">
        <f>+'Männer 50'!AB11</f>
        <v>Haaner TB</v>
      </c>
      <c r="AF7" s="144" t="str">
        <f>+'Männer 30'!AB11</f>
        <v>SV Werder Bremen</v>
      </c>
    </row>
    <row r="8" spans="1:32" ht="12.75" hidden="1" outlineLevel="1">
      <c r="A8" s="145">
        <v>5</v>
      </c>
      <c r="B8" s="145" t="str">
        <f>IF(Daten!C9="","",Daten!C9)</f>
        <v>TSV Krumbach</v>
      </c>
      <c r="C8" s="145"/>
      <c r="D8" s="145"/>
      <c r="E8" s="145"/>
      <c r="F8" s="145"/>
      <c r="G8" s="145"/>
      <c r="H8" s="145" t="str">
        <f>IF(Daten!C17="","",Daten!C17)</f>
        <v>TV Wertheim</v>
      </c>
      <c r="I8" s="145"/>
      <c r="J8" s="145"/>
      <c r="K8" s="145"/>
      <c r="L8" s="145" t="str">
        <f>IF(Daten!I9="","",Daten!I9)</f>
        <v>TSV Ludwigshafen</v>
      </c>
      <c r="M8" s="145"/>
      <c r="N8" s="145"/>
      <c r="O8" s="145" t="str">
        <f>IF(Daten!I17="","",Daten!I17)</f>
        <v>TV Edingen</v>
      </c>
      <c r="P8" s="147" t="str">
        <f>IF(Daten!I25="","",Daten!I25)</f>
        <v>TSG Eisenberg</v>
      </c>
      <c r="Q8" s="145"/>
      <c r="R8" s="145"/>
      <c r="S8" s="145"/>
      <c r="T8" s="145"/>
      <c r="U8" s="145"/>
      <c r="V8" s="145"/>
      <c r="W8" s="145"/>
      <c r="X8" s="145" t="str">
        <f>IF(Daten!C25="","",Daten!C25)</f>
        <v>TSV Krumbach</v>
      </c>
      <c r="Y8" s="145"/>
      <c r="AA8" s="145" t="str">
        <f>+'Frauen 40'!AB13</f>
        <v>VfL Oldenburg</v>
      </c>
      <c r="AC8" s="145" t="str">
        <f>+'Männer 40'!AB13</f>
        <v>PV Gundernhausen</v>
      </c>
      <c r="AD8" s="144">
        <f>+'Frauen 30'!AB13</f>
        <v>0</v>
      </c>
      <c r="AE8" s="144" t="str">
        <f>+'Männer 50'!AB13</f>
        <v>SC Wentorf</v>
      </c>
      <c r="AF8" s="144" t="str">
        <f>+'Männer 30'!AB13</f>
        <v>TB Hückeswagen</v>
      </c>
    </row>
    <row r="9" spans="1:25" ht="12.75" hidden="1" outlineLevel="1">
      <c r="A9" s="145">
        <v>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7"/>
      <c r="Q9" s="145"/>
      <c r="R9" s="145"/>
      <c r="S9" s="145"/>
      <c r="T9" s="145"/>
      <c r="U9" s="145"/>
      <c r="V9" s="145"/>
      <c r="W9" s="145"/>
      <c r="X9" s="145"/>
      <c r="Y9" s="145"/>
    </row>
    <row r="10" spans="1:25" ht="12.75" hidden="1" outlineLevel="1">
      <c r="A10" s="145">
        <v>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7"/>
      <c r="Q10" s="145"/>
      <c r="R10" s="145"/>
      <c r="S10" s="145"/>
      <c r="T10" s="145"/>
      <c r="U10" s="145"/>
      <c r="V10" s="145"/>
      <c r="W10" s="145"/>
      <c r="X10" s="145"/>
      <c r="Y10" s="145"/>
    </row>
    <row r="11" spans="1:32" ht="12.75" hidden="1" outlineLevel="1">
      <c r="A11" s="145">
        <v>11</v>
      </c>
      <c r="B11" s="145" t="str">
        <f>IF(Daten!F5="","",Daten!F5)</f>
        <v>SSC Dodesheide</v>
      </c>
      <c r="C11" s="145"/>
      <c r="D11" s="145"/>
      <c r="E11" s="145"/>
      <c r="F11" s="145"/>
      <c r="G11" s="145"/>
      <c r="H11" s="145" t="str">
        <f>IF(Daten!F13="","",Daten!F13)</f>
        <v>TV Grohn</v>
      </c>
      <c r="I11" s="145"/>
      <c r="J11" s="145"/>
      <c r="K11" s="145"/>
      <c r="L11" s="145" t="str">
        <f>IF(Daten!L5="","",Daten!L5)</f>
        <v>VSK Osterholz Scharmbeck</v>
      </c>
      <c r="M11" s="145"/>
      <c r="N11" s="145"/>
      <c r="O11" s="145" t="str">
        <f>IF(Daten!L13="","",Daten!L13)</f>
        <v>TV Grohn</v>
      </c>
      <c r="P11" s="147" t="str">
        <f>IF(Daten!L21="","",Daten!L21)</f>
        <v>TSV Burgdorf</v>
      </c>
      <c r="Q11" s="145"/>
      <c r="R11" s="145"/>
      <c r="S11" s="145"/>
      <c r="T11" s="145"/>
      <c r="U11" s="145"/>
      <c r="V11" s="145"/>
      <c r="W11" s="145"/>
      <c r="X11" s="145" t="str">
        <f>IF(Daten!F21="","",Daten!F21)</f>
        <v>TSV Kirchdorf</v>
      </c>
      <c r="Y11" s="145"/>
      <c r="AA11" s="145" t="str">
        <f>+'Frauen 40'!AB23</f>
        <v>TG Giengen</v>
      </c>
      <c r="AC11" s="145" t="str">
        <f>+'Männer 40'!AB23</f>
        <v>SF Ricklingen</v>
      </c>
      <c r="AD11" s="144" t="str">
        <f>+'Frauen 30'!AB23</f>
        <v>VfL Hannover</v>
      </c>
      <c r="AE11" s="144" t="str">
        <f>+'Männer 50'!AB23</f>
        <v>SV Werder Bremen</v>
      </c>
      <c r="AF11" s="144" t="str">
        <f>+'Männer 30'!AB23</f>
        <v>SV Weiler</v>
      </c>
    </row>
    <row r="12" spans="1:32" ht="12.75" hidden="1" outlineLevel="1">
      <c r="A12" s="145">
        <v>12</v>
      </c>
      <c r="B12" s="145" t="str">
        <f>IF(Daten!F6="","",Daten!F6)</f>
        <v>VfK 1901 Berlin</v>
      </c>
      <c r="C12" s="145"/>
      <c r="D12" s="145"/>
      <c r="E12" s="145"/>
      <c r="F12" s="145"/>
      <c r="G12" s="145"/>
      <c r="H12" s="145" t="str">
        <f>IF(Daten!F14="","",Daten!F14)</f>
        <v>SF Ricklingen</v>
      </c>
      <c r="I12" s="145"/>
      <c r="J12" s="145"/>
      <c r="K12" s="145"/>
      <c r="L12" s="145" t="str">
        <f>IF(Daten!L6="","",Daten!L6)</f>
        <v>MTV Wohnste</v>
      </c>
      <c r="M12" s="145"/>
      <c r="N12" s="145"/>
      <c r="O12" s="145" t="str">
        <f>IF(Daten!L14="","",Daten!L14)</f>
        <v>VfL Hannover</v>
      </c>
      <c r="P12" s="147" t="str">
        <f>IF(Daten!L22="","",Daten!L22)</f>
        <v>SV Werder Bremen</v>
      </c>
      <c r="Q12" s="145"/>
      <c r="R12" s="145"/>
      <c r="S12" s="145"/>
      <c r="T12" s="145"/>
      <c r="U12" s="145"/>
      <c r="V12" s="145"/>
      <c r="W12" s="145"/>
      <c r="X12" s="145" t="str">
        <f>IF(Daten!F22="","",Daten!F22)</f>
        <v>SV Werder Bremen</v>
      </c>
      <c r="Y12" s="145"/>
      <c r="AA12" s="145" t="str">
        <f>+'Frauen 40'!AB25</f>
        <v>TV Wertheim</v>
      </c>
      <c r="AC12" s="145" t="str">
        <f>+'Männer 40'!AB25</f>
        <v>TV FA Altenbochum</v>
      </c>
      <c r="AD12" s="144" t="str">
        <f>+'Frauen 30'!AB25</f>
        <v>TV Baden</v>
      </c>
      <c r="AE12" s="144" t="str">
        <f>+'Männer 50'!AB25</f>
        <v>TuS Ferndorf</v>
      </c>
      <c r="AF12" s="144" t="str">
        <f>+'Männer 30'!AB25</f>
        <v>SV Prag Stuttgart</v>
      </c>
    </row>
    <row r="13" spans="1:32" ht="12.75" hidden="1" outlineLevel="1">
      <c r="A13" s="145">
        <v>13</v>
      </c>
      <c r="B13" s="145" t="str">
        <f>IF(Daten!F7="","",Daten!F7)</f>
        <v>SV Weiler</v>
      </c>
      <c r="C13" s="145"/>
      <c r="D13" s="145"/>
      <c r="E13" s="145"/>
      <c r="F13" s="145"/>
      <c r="G13" s="145"/>
      <c r="H13" s="145" t="str">
        <f>IF(Daten!F15="","",Daten!F15)</f>
        <v>TV Offenburg</v>
      </c>
      <c r="I13" s="145"/>
      <c r="J13" s="145"/>
      <c r="K13" s="145"/>
      <c r="L13" s="145" t="str">
        <f>IF(Daten!L7="","",Daten!L7)</f>
        <v>TV Wertheim</v>
      </c>
      <c r="M13" s="145"/>
      <c r="N13" s="145"/>
      <c r="O13" s="145" t="str">
        <f>IF(Daten!L15="","",Daten!L15)</f>
        <v>TV Baden</v>
      </c>
      <c r="P13" s="147" t="str">
        <f>IF(Daten!L23="","",Daten!L23)</f>
        <v>TV Cramberg</v>
      </c>
      <c r="Q13" s="145"/>
      <c r="R13" s="145"/>
      <c r="S13" s="145"/>
      <c r="T13" s="145"/>
      <c r="U13" s="145"/>
      <c r="V13" s="145"/>
      <c r="W13" s="145"/>
      <c r="X13" s="145" t="str">
        <f>IF(Daten!F23="","",Daten!F23)</f>
        <v>TV Edingen</v>
      </c>
      <c r="Y13" s="145"/>
      <c r="AA13" s="145" t="str">
        <f>+'Frauen 40'!AB27</f>
        <v>VSK Osterholz Scharmbeck</v>
      </c>
      <c r="AC13" s="145" t="str">
        <f>+'Männer 40'!AB27</f>
        <v>TV Grohn</v>
      </c>
      <c r="AD13" s="144" t="str">
        <f>+'Frauen 30'!AB27</f>
        <v>SKG Ober Ramstadt</v>
      </c>
      <c r="AE13" s="144" t="str">
        <f>+'Männer 50'!AB27</f>
        <v>VT Contwig</v>
      </c>
      <c r="AF13" s="144" t="str">
        <f>+'Männer 30'!AB27</f>
        <v>VfK 1901 Berlin</v>
      </c>
    </row>
    <row r="14" spans="1:32" ht="12.75" hidden="1" outlineLevel="1">
      <c r="A14" s="145">
        <v>14</v>
      </c>
      <c r="B14" s="145" t="str">
        <f>IF(Daten!F8="","",Daten!F8)</f>
        <v>SV Prag Stuttgart</v>
      </c>
      <c r="C14" s="145"/>
      <c r="D14" s="145"/>
      <c r="E14" s="145"/>
      <c r="F14" s="145"/>
      <c r="G14" s="145"/>
      <c r="H14" s="145" t="str">
        <f>IF(Daten!F16="","",Daten!F16)</f>
        <v>VT Contwig</v>
      </c>
      <c r="I14" s="145"/>
      <c r="J14" s="145"/>
      <c r="K14" s="145"/>
      <c r="L14" s="145" t="str">
        <f>IF(Daten!L8="","",Daten!L8)</f>
        <v>TG Giengen</v>
      </c>
      <c r="M14" s="145"/>
      <c r="N14" s="145"/>
      <c r="O14" s="145" t="str">
        <f>IF(Daten!L16="","",Daten!L16)</f>
        <v>TV Oberschopfheim</v>
      </c>
      <c r="P14" s="147" t="str">
        <f>IF(Daten!L24="","",Daten!L24)</f>
        <v>TV Höheischweiler</v>
      </c>
      <c r="Q14" s="145"/>
      <c r="R14" s="145"/>
      <c r="S14" s="145"/>
      <c r="T14" s="145"/>
      <c r="U14" s="145"/>
      <c r="V14" s="145"/>
      <c r="W14" s="145"/>
      <c r="X14" s="145" t="str">
        <f>IF(Daten!F24="","",Daten!F24)</f>
        <v>VT Contwig</v>
      </c>
      <c r="Y14" s="145"/>
      <c r="AA14" s="145" t="str">
        <f>+'Frauen 40'!AB29</f>
        <v>MTV Wohnste</v>
      </c>
      <c r="AC14" s="145" t="str">
        <f>+'Männer 40'!AB29</f>
        <v>VT Contwig</v>
      </c>
      <c r="AD14" s="144" t="str">
        <f>+'Frauen 30'!AB29</f>
        <v>TV Oberschopfheim</v>
      </c>
      <c r="AE14" s="144" t="str">
        <f>+'Männer 50'!AB29</f>
        <v>TSV Kirchdorf</v>
      </c>
      <c r="AF14" s="144" t="str">
        <f>+'Männer 30'!AB29</f>
        <v>SSC Dodesheide</v>
      </c>
    </row>
    <row r="15" spans="1:32" ht="12.75" hidden="1" outlineLevel="1">
      <c r="A15" s="145">
        <v>15</v>
      </c>
      <c r="B15" s="145" t="str">
        <f>IF(Daten!F9="","",Daten!F9)</f>
        <v>SKG Ober Ramstadt</v>
      </c>
      <c r="C15" s="145"/>
      <c r="D15" s="145"/>
      <c r="E15" s="145"/>
      <c r="F15" s="145"/>
      <c r="G15" s="145"/>
      <c r="H15" s="145" t="str">
        <f>IF(Daten!F17="","",Daten!F17)</f>
        <v>TV FA Altenbochum</v>
      </c>
      <c r="I15" s="145"/>
      <c r="J15" s="145"/>
      <c r="K15" s="145"/>
      <c r="L15" s="145" t="str">
        <f>IF(Daten!L9="","",Daten!L9)</f>
        <v>Betzdorfer TV</v>
      </c>
      <c r="M15" s="145"/>
      <c r="N15" s="145"/>
      <c r="O15" s="145" t="str">
        <f>IF(Daten!L17="","",Daten!L17)</f>
        <v>SKG Ober Ramstadt</v>
      </c>
      <c r="P15" s="147" t="str">
        <f>IF(Daten!L25="","",Daten!L25)</f>
        <v>TV Niederschelden</v>
      </c>
      <c r="Q15" s="145"/>
      <c r="R15" s="145"/>
      <c r="S15" s="145"/>
      <c r="T15" s="145"/>
      <c r="U15" s="145"/>
      <c r="V15" s="145"/>
      <c r="W15" s="145"/>
      <c r="X15" s="145" t="str">
        <f>IF(Daten!F25="","",Daten!F25)</f>
        <v>TuS Ferndorf</v>
      </c>
      <c r="Y15" s="145"/>
      <c r="AA15" s="145" t="str">
        <f>+'Frauen 40'!AB31</f>
        <v>Betzdorfer TV</v>
      </c>
      <c r="AC15" s="145" t="str">
        <f>+'Männer 40'!AB31</f>
        <v>TV Offenburg</v>
      </c>
      <c r="AD15" s="144" t="str">
        <f>+'Frauen 30'!AB31</f>
        <v>TV Grohn</v>
      </c>
      <c r="AE15" s="144" t="str">
        <f>+'Männer 50'!AB31</f>
        <v>TV Edingen</v>
      </c>
      <c r="AF15" s="144" t="str">
        <f>+'Männer 30'!AB31</f>
        <v>SKG Ober Ramstadt</v>
      </c>
    </row>
    <row r="16" spans="1:32" s="145" customFormat="1" ht="12.75" hidden="1" outlineLevel="1">
      <c r="A16" s="145">
        <v>16</v>
      </c>
      <c r="P16" s="147"/>
      <c r="AF16" s="144">
        <f>+'Männer 30'!AB33</f>
        <v>0</v>
      </c>
    </row>
    <row r="17" spans="1:28" ht="12.75" hidden="1" outlineLevel="1">
      <c r="A17" s="145">
        <v>17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7"/>
      <c r="Q17" s="145"/>
      <c r="R17" s="145"/>
      <c r="S17" s="145"/>
      <c r="T17" s="145"/>
      <c r="U17" s="145"/>
      <c r="V17" s="145"/>
      <c r="W17" s="145"/>
      <c r="X17" s="145"/>
      <c r="Y17" s="145"/>
      <c r="AB17" s="145"/>
    </row>
    <row r="18" spans="2:28" ht="12.75" hidden="1" outlineLevel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7"/>
      <c r="Q18" s="145"/>
      <c r="R18" s="145"/>
      <c r="S18" s="145"/>
      <c r="T18" s="145"/>
      <c r="U18" s="145"/>
      <c r="V18" s="145"/>
      <c r="W18" s="145"/>
      <c r="X18" s="145"/>
      <c r="Y18" s="145"/>
      <c r="AB18" s="145"/>
    </row>
    <row r="19" spans="2:15" ht="12.75" hidden="1" outlineLevel="1">
      <c r="B19" s="145"/>
      <c r="H19" s="145"/>
      <c r="I19" s="145"/>
      <c r="J19" s="145"/>
      <c r="K19" s="145"/>
      <c r="L19" s="145"/>
      <c r="M19" s="145"/>
      <c r="N19" s="145"/>
      <c r="O19" s="145"/>
    </row>
    <row r="20" ht="4.5" customHeight="1" hidden="1" outlineLevel="1"/>
    <row r="21" spans="2:28" ht="12.75" customHeight="1" collapsed="1" thickBot="1">
      <c r="B21" s="148" t="s">
        <v>46</v>
      </c>
      <c r="C21" s="148" t="s">
        <v>3</v>
      </c>
      <c r="D21" s="148" t="s">
        <v>47</v>
      </c>
      <c r="E21" s="148" t="s">
        <v>48</v>
      </c>
      <c r="F21" s="148"/>
      <c r="G21" s="148"/>
      <c r="H21" s="148" t="s">
        <v>49</v>
      </c>
      <c r="I21" s="148"/>
      <c r="J21" s="148"/>
      <c r="K21" s="148"/>
      <c r="L21" s="148" t="s">
        <v>49</v>
      </c>
      <c r="M21" s="148"/>
      <c r="N21" s="148"/>
      <c r="O21" s="148" t="s">
        <v>50</v>
      </c>
      <c r="P21" s="149" t="s">
        <v>51</v>
      </c>
      <c r="Q21" s="148"/>
      <c r="R21" s="148" t="s">
        <v>52</v>
      </c>
      <c r="S21" s="148"/>
      <c r="T21" s="148"/>
      <c r="U21" s="148" t="s">
        <v>26</v>
      </c>
      <c r="V21" s="148"/>
      <c r="W21" s="145"/>
      <c r="X21" s="148" t="s">
        <v>52</v>
      </c>
      <c r="Y21" s="148" t="s">
        <v>26</v>
      </c>
      <c r="AB21" s="145"/>
    </row>
    <row r="22" spans="2:29" ht="12.75" customHeight="1" thickTop="1">
      <c r="B22" s="145">
        <v>1</v>
      </c>
      <c r="C22" s="150">
        <f>+Daten!N4</f>
        <v>0.34027777777777773</v>
      </c>
      <c r="D22" s="145"/>
      <c r="E22" s="145">
        <v>1</v>
      </c>
      <c r="F22" s="151" t="s">
        <v>22</v>
      </c>
      <c r="G22" s="152">
        <v>1</v>
      </c>
      <c r="H22" s="153" t="str">
        <f ca="1">INDIRECT(ADDRESS(MATCH(G22,$A$1:$A$19,0),MATCH(F22,$A$3:$AE$3,0)))</f>
        <v>VfL Oldenburg</v>
      </c>
      <c r="I22" s="154" t="s">
        <v>28</v>
      </c>
      <c r="J22" s="151" t="s">
        <v>22</v>
      </c>
      <c r="K22" s="152">
        <v>2</v>
      </c>
      <c r="L22" s="153" t="str">
        <f ca="1">INDIRECT(ADDRESS(MATCH(K22,$A$1:$A$19,0),MATCH(J22,$A$3:$AE$3,0)))</f>
        <v>MTV Itzehoe</v>
      </c>
      <c r="M22" s="151" t="s">
        <v>22</v>
      </c>
      <c r="N22" s="152">
        <v>3</v>
      </c>
      <c r="O22" s="153" t="str">
        <f ca="1">INDIRECT(ADDRESS(MATCH(N22,$A$1:$A$19,0),MATCH(M22,$A$3:$AE$3,0)))</f>
        <v>TV Berkenbaum</v>
      </c>
      <c r="P22" s="147"/>
      <c r="Q22" s="145">
        <v>40</v>
      </c>
      <c r="R22" s="154" t="s">
        <v>27</v>
      </c>
      <c r="S22" s="145">
        <v>41</v>
      </c>
      <c r="T22" s="155">
        <f aca="true" t="shared" si="0" ref="T22:T53">IF(Q22="","",IF(Q22&gt;S22,2,IF(Q22&lt;S22,0,1)))</f>
        <v>0</v>
      </c>
      <c r="U22" s="154" t="s">
        <v>27</v>
      </c>
      <c r="V22" s="156">
        <f aca="true" t="shared" si="1" ref="V22:V53">IF(S22="","",IF(S22&gt;Q22,2,IF(S22&lt;Q22,0,1)))</f>
        <v>2</v>
      </c>
      <c r="W22" s="145"/>
      <c r="X22" s="154" t="s">
        <v>53</v>
      </c>
      <c r="Y22" s="154" t="s">
        <v>53</v>
      </c>
      <c r="AA22" s="145" t="s">
        <v>87</v>
      </c>
      <c r="AB22" s="145">
        <v>1</v>
      </c>
      <c r="AC22" s="145" t="s">
        <v>40</v>
      </c>
    </row>
    <row r="23" spans="2:29" ht="12.75" customHeight="1">
      <c r="B23" s="145"/>
      <c r="C23" s="145"/>
      <c r="D23" s="145">
        <v>1</v>
      </c>
      <c r="E23" s="152">
        <v>2</v>
      </c>
      <c r="F23" s="151" t="s">
        <v>22</v>
      </c>
      <c r="G23" s="152">
        <v>11</v>
      </c>
      <c r="H23" s="153" t="str">
        <f ca="1" t="shared" si="2" ref="H23:H29">INDIRECT(ADDRESS(MATCH(G23,$A$1:$A$19,0),MATCH(F23,$A$3:$AE$3,0)))</f>
        <v>VSK Osterholz Scharmbeck</v>
      </c>
      <c r="I23" s="157" t="s">
        <v>28</v>
      </c>
      <c r="J23" s="151" t="s">
        <v>22</v>
      </c>
      <c r="K23" s="152">
        <v>12</v>
      </c>
      <c r="L23" s="153" t="str">
        <f ca="1">INDIRECT(ADDRESS(MATCH(K23,$A$1:$A$19,0),MATCH(J23,$A$3:$AE$3,0)))</f>
        <v>MTV Wohnste</v>
      </c>
      <c r="M23" s="151" t="s">
        <v>22</v>
      </c>
      <c r="N23" s="152">
        <v>13</v>
      </c>
      <c r="O23" s="153" t="str">
        <f ca="1" t="shared" si="3" ref="O23:O29">INDIRECT(ADDRESS(MATCH(N23,$A$1:$A$19,0),MATCH(M23,$A$3:$AE$3,0)))</f>
        <v>TV Wertheim</v>
      </c>
      <c r="P23" s="147"/>
      <c r="Q23" s="145">
        <v>48</v>
      </c>
      <c r="R23" s="154" t="s">
        <v>27</v>
      </c>
      <c r="S23" s="145">
        <v>40</v>
      </c>
      <c r="T23" s="155">
        <f t="shared" si="0"/>
        <v>2</v>
      </c>
      <c r="U23" s="154" t="s">
        <v>27</v>
      </c>
      <c r="V23" s="156">
        <f t="shared" si="1"/>
        <v>0</v>
      </c>
      <c r="W23" s="145"/>
      <c r="X23" s="154" t="s">
        <v>53</v>
      </c>
      <c r="Y23" s="154" t="s">
        <v>53</v>
      </c>
      <c r="AA23" s="145" t="s">
        <v>87</v>
      </c>
      <c r="AB23" s="145">
        <v>1</v>
      </c>
      <c r="AC23" s="145" t="s">
        <v>40</v>
      </c>
    </row>
    <row r="24" spans="2:29" ht="12.75" customHeight="1">
      <c r="B24" s="145"/>
      <c r="C24" s="145"/>
      <c r="D24" s="145">
        <f aca="true" t="shared" si="4" ref="D24:D117">+D23+1</f>
        <v>2</v>
      </c>
      <c r="E24" s="145">
        <v>3</v>
      </c>
      <c r="F24" s="158" t="s">
        <v>21</v>
      </c>
      <c r="G24" s="145">
        <v>1</v>
      </c>
      <c r="H24" s="153" t="str">
        <f ca="1" t="shared" si="2"/>
        <v>TSV Burgdorf</v>
      </c>
      <c r="I24" s="154" t="s">
        <v>28</v>
      </c>
      <c r="J24" s="158" t="s">
        <v>21</v>
      </c>
      <c r="K24" s="145">
        <v>2</v>
      </c>
      <c r="L24" s="153" t="str">
        <f ca="1">INDIRECT(ADDRESS(MATCH(K24,$A$1:$A$19,0),MATCH(J24,$A$3:$AE$3,0)))</f>
        <v>TSV Kirchdorf</v>
      </c>
      <c r="M24" s="158" t="s">
        <v>21</v>
      </c>
      <c r="N24" s="145">
        <v>3</v>
      </c>
      <c r="O24" s="153" t="str">
        <f ca="1" t="shared" si="3"/>
        <v>PV Gundernhausen</v>
      </c>
      <c r="P24" s="147"/>
      <c r="Q24" s="145">
        <v>39</v>
      </c>
      <c r="R24" s="154" t="s">
        <v>27</v>
      </c>
      <c r="S24" s="145">
        <v>33</v>
      </c>
      <c r="T24" s="155">
        <f t="shared" si="0"/>
        <v>2</v>
      </c>
      <c r="U24" s="154" t="s">
        <v>27</v>
      </c>
      <c r="V24" s="156">
        <f t="shared" si="1"/>
        <v>0</v>
      </c>
      <c r="W24" s="145"/>
      <c r="X24" s="154" t="s">
        <v>53</v>
      </c>
      <c r="Y24" s="154" t="s">
        <v>53</v>
      </c>
      <c r="AA24" s="145" t="s">
        <v>87</v>
      </c>
      <c r="AB24" s="145">
        <v>2</v>
      </c>
      <c r="AC24" s="145" t="s">
        <v>40</v>
      </c>
    </row>
    <row r="25" spans="2:29" ht="12.75" customHeight="1">
      <c r="B25" s="159"/>
      <c r="C25" s="159"/>
      <c r="D25" s="159">
        <f t="shared" si="4"/>
        <v>3</v>
      </c>
      <c r="E25" s="159">
        <v>4</v>
      </c>
      <c r="F25" s="160" t="s">
        <v>21</v>
      </c>
      <c r="G25" s="159">
        <v>11</v>
      </c>
      <c r="H25" s="161" t="str">
        <f ca="1" t="shared" si="2"/>
        <v>TV Grohn</v>
      </c>
      <c r="I25" s="162" t="s">
        <v>28</v>
      </c>
      <c r="J25" s="160" t="s">
        <v>21</v>
      </c>
      <c r="K25" s="159">
        <v>12</v>
      </c>
      <c r="L25" s="161" t="str">
        <f ca="1">INDIRECT(ADDRESS(MATCH(K25,$A$1:$A$19,0),MATCH(J25,$A$3:$AE$3,0)))</f>
        <v>SF Ricklingen</v>
      </c>
      <c r="M25" s="160" t="s">
        <v>21</v>
      </c>
      <c r="N25" s="159">
        <v>13</v>
      </c>
      <c r="O25" s="161" t="str">
        <f ca="1" t="shared" si="3"/>
        <v>TV Offenburg</v>
      </c>
      <c r="P25" s="163"/>
      <c r="Q25" s="159">
        <v>33</v>
      </c>
      <c r="R25" s="162" t="s">
        <v>27</v>
      </c>
      <c r="S25" s="159">
        <v>43</v>
      </c>
      <c r="T25" s="164">
        <f t="shared" si="0"/>
        <v>0</v>
      </c>
      <c r="U25" s="162" t="s">
        <v>27</v>
      </c>
      <c r="V25" s="165">
        <f t="shared" si="1"/>
        <v>2</v>
      </c>
      <c r="W25" s="152"/>
      <c r="X25" s="162" t="s">
        <v>53</v>
      </c>
      <c r="Y25" s="162" t="s">
        <v>53</v>
      </c>
      <c r="AA25" s="145" t="s">
        <v>87</v>
      </c>
      <c r="AB25" s="145">
        <v>2</v>
      </c>
      <c r="AC25" s="145" t="s">
        <v>40</v>
      </c>
    </row>
    <row r="26" spans="2:29" ht="12.75">
      <c r="B26" s="145">
        <f>+B22+1</f>
        <v>2</v>
      </c>
      <c r="C26" s="150">
        <f>+Daten!N5</f>
        <v>0.35763888888888884</v>
      </c>
      <c r="D26" s="152">
        <f t="shared" si="4"/>
        <v>4</v>
      </c>
      <c r="E26" s="145">
        <v>1</v>
      </c>
      <c r="F26" s="151" t="s">
        <v>22</v>
      </c>
      <c r="G26" s="152">
        <v>3</v>
      </c>
      <c r="H26" s="153" t="str">
        <f ca="1">INDIRECT(ADDRESS(MATCH(G26,$A$1:$A$19,0),MATCH(F26,$A$3:$AE$3,0)))</f>
        <v>TV Berkenbaum</v>
      </c>
      <c r="I26" s="154" t="s">
        <v>28</v>
      </c>
      <c r="J26" s="151" t="s">
        <v>22</v>
      </c>
      <c r="K26" s="152">
        <v>4</v>
      </c>
      <c r="L26" s="153" t="str">
        <f ca="1" t="shared" si="5" ref="L26:L61">INDIRECT(ADDRESS(MATCH(K26,$A$1:$A$19,0),MATCH(J26,$A$3:$AE$3,0)))</f>
        <v>Barmer TG</v>
      </c>
      <c r="M26" s="151" t="s">
        <v>22</v>
      </c>
      <c r="N26" s="152">
        <v>5</v>
      </c>
      <c r="O26" s="153" t="str">
        <f ca="1" t="shared" si="3"/>
        <v>TSV Ludwigshafen</v>
      </c>
      <c r="P26" s="147"/>
      <c r="Q26" s="145">
        <v>33</v>
      </c>
      <c r="R26" s="154" t="s">
        <v>27</v>
      </c>
      <c r="S26" s="145">
        <v>46</v>
      </c>
      <c r="T26" s="155">
        <f t="shared" si="0"/>
        <v>0</v>
      </c>
      <c r="U26" s="154" t="s">
        <v>27</v>
      </c>
      <c r="V26" s="156">
        <f t="shared" si="1"/>
        <v>2</v>
      </c>
      <c r="X26" s="154" t="s">
        <v>53</v>
      </c>
      <c r="Y26" s="154" t="s">
        <v>53</v>
      </c>
      <c r="AA26" s="145" t="s">
        <v>87</v>
      </c>
      <c r="AB26" s="145">
        <v>3</v>
      </c>
      <c r="AC26" s="145" t="s">
        <v>40</v>
      </c>
    </row>
    <row r="27" spans="2:29" ht="12.75">
      <c r="B27" s="145"/>
      <c r="C27" s="145"/>
      <c r="D27" s="145">
        <f t="shared" si="4"/>
        <v>5</v>
      </c>
      <c r="E27" s="145">
        <v>2</v>
      </c>
      <c r="F27" s="151" t="s">
        <v>22</v>
      </c>
      <c r="G27" s="152">
        <v>13</v>
      </c>
      <c r="H27" s="153" t="str">
        <f ca="1" t="shared" si="2"/>
        <v>TV Wertheim</v>
      </c>
      <c r="I27" s="157" t="s">
        <v>28</v>
      </c>
      <c r="J27" s="151" t="s">
        <v>22</v>
      </c>
      <c r="K27" s="152">
        <v>14</v>
      </c>
      <c r="L27" s="153" t="str">
        <f ca="1" t="shared" si="5"/>
        <v>TG Giengen</v>
      </c>
      <c r="M27" s="151" t="s">
        <v>22</v>
      </c>
      <c r="N27" s="152">
        <v>15</v>
      </c>
      <c r="O27" s="153" t="str">
        <f ca="1" t="shared" si="3"/>
        <v>Betzdorfer TV</v>
      </c>
      <c r="P27" s="147"/>
      <c r="Q27" s="145">
        <v>35</v>
      </c>
      <c r="R27" s="154" t="s">
        <v>27</v>
      </c>
      <c r="S27" s="145">
        <v>40</v>
      </c>
      <c r="T27" s="155">
        <f t="shared" si="0"/>
        <v>0</v>
      </c>
      <c r="U27" s="154" t="s">
        <v>27</v>
      </c>
      <c r="V27" s="156">
        <f t="shared" si="1"/>
        <v>2</v>
      </c>
      <c r="X27" s="154" t="s">
        <v>53</v>
      </c>
      <c r="Y27" s="154" t="s">
        <v>53</v>
      </c>
      <c r="AA27" s="145" t="s">
        <v>87</v>
      </c>
      <c r="AB27" s="145">
        <v>3</v>
      </c>
      <c r="AC27" s="145" t="s">
        <v>40</v>
      </c>
    </row>
    <row r="28" spans="2:29" ht="12.75">
      <c r="B28" s="145"/>
      <c r="C28" s="145"/>
      <c r="D28" s="145">
        <f t="shared" si="4"/>
        <v>6</v>
      </c>
      <c r="E28" s="145">
        <v>3</v>
      </c>
      <c r="F28" s="158" t="s">
        <v>21</v>
      </c>
      <c r="G28" s="145">
        <v>3</v>
      </c>
      <c r="H28" s="153" t="str">
        <f ca="1" t="shared" si="2"/>
        <v>PV Gundernhausen</v>
      </c>
      <c r="I28" s="154" t="s">
        <v>28</v>
      </c>
      <c r="J28" s="158" t="s">
        <v>21</v>
      </c>
      <c r="K28" s="145">
        <v>4</v>
      </c>
      <c r="L28" s="153" t="str">
        <f ca="1" t="shared" si="5"/>
        <v>TV Berkenbaum</v>
      </c>
      <c r="M28" s="158" t="s">
        <v>21</v>
      </c>
      <c r="N28" s="145">
        <v>5</v>
      </c>
      <c r="O28" s="153" t="str">
        <f ca="1" t="shared" si="3"/>
        <v>TV Wertheim</v>
      </c>
      <c r="P28" s="147"/>
      <c r="Q28" s="145">
        <v>32</v>
      </c>
      <c r="R28" s="154" t="s">
        <v>27</v>
      </c>
      <c r="S28" s="145">
        <v>43</v>
      </c>
      <c r="T28" s="155">
        <f t="shared" si="0"/>
        <v>0</v>
      </c>
      <c r="U28" s="154" t="s">
        <v>27</v>
      </c>
      <c r="V28" s="156">
        <f t="shared" si="1"/>
        <v>2</v>
      </c>
      <c r="X28" s="154" t="s">
        <v>53</v>
      </c>
      <c r="Y28" s="154" t="s">
        <v>53</v>
      </c>
      <c r="AA28" s="145" t="s">
        <v>87</v>
      </c>
      <c r="AB28" s="145">
        <v>4</v>
      </c>
      <c r="AC28" s="145" t="s">
        <v>40</v>
      </c>
    </row>
    <row r="29" spans="2:29" ht="12.75">
      <c r="B29" s="159"/>
      <c r="C29" s="159"/>
      <c r="D29" s="159">
        <f t="shared" si="4"/>
        <v>7</v>
      </c>
      <c r="E29" s="159">
        <v>4</v>
      </c>
      <c r="F29" s="160" t="s">
        <v>21</v>
      </c>
      <c r="G29" s="159">
        <v>13</v>
      </c>
      <c r="H29" s="161" t="str">
        <f ca="1" t="shared" si="2"/>
        <v>TV Offenburg</v>
      </c>
      <c r="I29" s="162" t="s">
        <v>28</v>
      </c>
      <c r="J29" s="160" t="s">
        <v>21</v>
      </c>
      <c r="K29" s="159">
        <v>14</v>
      </c>
      <c r="L29" s="161" t="str">
        <f ca="1" t="shared" si="5"/>
        <v>VT Contwig</v>
      </c>
      <c r="M29" s="160" t="s">
        <v>21</v>
      </c>
      <c r="N29" s="159">
        <v>15</v>
      </c>
      <c r="O29" s="161" t="str">
        <f ca="1" t="shared" si="3"/>
        <v>TV FA Altenbochum</v>
      </c>
      <c r="P29" s="163"/>
      <c r="Q29" s="159">
        <v>36</v>
      </c>
      <c r="R29" s="162" t="s">
        <v>27</v>
      </c>
      <c r="S29" s="159">
        <v>42</v>
      </c>
      <c r="T29" s="164">
        <f t="shared" si="0"/>
        <v>0</v>
      </c>
      <c r="U29" s="162" t="s">
        <v>27</v>
      </c>
      <c r="V29" s="165">
        <f t="shared" si="1"/>
        <v>2</v>
      </c>
      <c r="W29" s="166"/>
      <c r="X29" s="162" t="s">
        <v>53</v>
      </c>
      <c r="Y29" s="162" t="s">
        <v>53</v>
      </c>
      <c r="AA29" s="145" t="s">
        <v>87</v>
      </c>
      <c r="AB29" s="145">
        <v>4</v>
      </c>
      <c r="AC29" s="145" t="s">
        <v>40</v>
      </c>
    </row>
    <row r="30" spans="2:29" ht="12.75" customHeight="1">
      <c r="B30" s="145">
        <f>+B26+1</f>
        <v>3</v>
      </c>
      <c r="C30" s="150">
        <f>+Daten!N6</f>
        <v>0.37499999999999994</v>
      </c>
      <c r="D30" s="152">
        <f t="shared" si="4"/>
        <v>8</v>
      </c>
      <c r="E30" s="145">
        <v>1</v>
      </c>
      <c r="F30" s="151" t="s">
        <v>22</v>
      </c>
      <c r="G30" s="152">
        <v>1</v>
      </c>
      <c r="H30" s="153" t="str">
        <f ca="1" t="shared" si="6" ref="H30:H48">INDIRECT(ADDRESS(MATCH(G30,$A$1:$A$19,0),MATCH(F30,$A$3:$AE$3,0)))</f>
        <v>VfL Oldenburg</v>
      </c>
      <c r="I30" s="154" t="s">
        <v>28</v>
      </c>
      <c r="J30" s="151" t="s">
        <v>22</v>
      </c>
      <c r="K30" s="152">
        <v>5</v>
      </c>
      <c r="L30" s="153" t="str">
        <f ca="1" t="shared" si="5"/>
        <v>TSV Ludwigshafen</v>
      </c>
      <c r="M30" s="151" t="s">
        <v>22</v>
      </c>
      <c r="N30" s="152">
        <v>2</v>
      </c>
      <c r="O30" s="153" t="str">
        <f ca="1" t="shared" si="7" ref="O30:O61">INDIRECT(ADDRESS(MATCH(N30,$A$1:$A$19,0),MATCH(M30,$A$3:$AE$3,0)))</f>
        <v>MTV Itzehoe</v>
      </c>
      <c r="P30" s="147"/>
      <c r="Q30" s="145">
        <v>34</v>
      </c>
      <c r="R30" s="154" t="s">
        <v>27</v>
      </c>
      <c r="S30" s="145">
        <v>48</v>
      </c>
      <c r="T30" s="155">
        <f t="shared" si="0"/>
        <v>0</v>
      </c>
      <c r="U30" s="154" t="s">
        <v>27</v>
      </c>
      <c r="V30" s="156">
        <f t="shared" si="1"/>
        <v>2</v>
      </c>
      <c r="X30" s="154" t="s">
        <v>53</v>
      </c>
      <c r="Y30" s="154" t="s">
        <v>53</v>
      </c>
      <c r="AA30" s="145" t="s">
        <v>87</v>
      </c>
      <c r="AB30" s="145">
        <v>5</v>
      </c>
      <c r="AC30" s="145" t="s">
        <v>40</v>
      </c>
    </row>
    <row r="31" spans="2:29" ht="12.75">
      <c r="B31" s="145"/>
      <c r="C31" s="145"/>
      <c r="D31" s="145">
        <f t="shared" si="4"/>
        <v>9</v>
      </c>
      <c r="E31" s="145">
        <v>2</v>
      </c>
      <c r="F31" s="151" t="s">
        <v>22</v>
      </c>
      <c r="G31" s="152">
        <v>11</v>
      </c>
      <c r="H31" s="153" t="str">
        <f ca="1" t="shared" si="6"/>
        <v>VSK Osterholz Scharmbeck</v>
      </c>
      <c r="I31" s="157" t="s">
        <v>28</v>
      </c>
      <c r="J31" s="151" t="s">
        <v>22</v>
      </c>
      <c r="K31" s="152">
        <v>15</v>
      </c>
      <c r="L31" s="153" t="str">
        <f ca="1" t="shared" si="5"/>
        <v>Betzdorfer TV</v>
      </c>
      <c r="M31" s="151" t="s">
        <v>22</v>
      </c>
      <c r="N31" s="152">
        <v>12</v>
      </c>
      <c r="O31" s="153" t="str">
        <f ca="1" t="shared" si="7"/>
        <v>MTV Wohnste</v>
      </c>
      <c r="P31" s="147"/>
      <c r="Q31" s="145">
        <v>46</v>
      </c>
      <c r="R31" s="154" t="s">
        <v>27</v>
      </c>
      <c r="S31" s="145">
        <v>42</v>
      </c>
      <c r="T31" s="155">
        <f t="shared" si="0"/>
        <v>2</v>
      </c>
      <c r="U31" s="154" t="s">
        <v>27</v>
      </c>
      <c r="V31" s="156">
        <f t="shared" si="1"/>
        <v>0</v>
      </c>
      <c r="X31" s="154" t="s">
        <v>53</v>
      </c>
      <c r="Y31" s="154" t="s">
        <v>53</v>
      </c>
      <c r="AA31" s="145" t="s">
        <v>87</v>
      </c>
      <c r="AB31" s="145">
        <v>5</v>
      </c>
      <c r="AC31" s="145" t="s">
        <v>40</v>
      </c>
    </row>
    <row r="32" spans="2:29" ht="12.75">
      <c r="B32" s="145"/>
      <c r="C32" s="145"/>
      <c r="D32" s="145">
        <f t="shared" si="4"/>
        <v>10</v>
      </c>
      <c r="E32" s="145">
        <v>3</v>
      </c>
      <c r="F32" s="158" t="s">
        <v>21</v>
      </c>
      <c r="G32" s="145">
        <v>1</v>
      </c>
      <c r="H32" s="153" t="str">
        <f ca="1" t="shared" si="6"/>
        <v>TSV Burgdorf</v>
      </c>
      <c r="I32" s="154" t="s">
        <v>28</v>
      </c>
      <c r="J32" s="158" t="s">
        <v>21</v>
      </c>
      <c r="K32" s="145">
        <v>5</v>
      </c>
      <c r="L32" s="153" t="str">
        <f ca="1" t="shared" si="5"/>
        <v>TV Wertheim</v>
      </c>
      <c r="M32" s="158" t="s">
        <v>21</v>
      </c>
      <c r="N32" s="145">
        <v>2</v>
      </c>
      <c r="O32" s="153" t="str">
        <f ca="1" t="shared" si="7"/>
        <v>TSV Kirchdorf</v>
      </c>
      <c r="P32" s="147"/>
      <c r="Q32" s="145">
        <v>32</v>
      </c>
      <c r="R32" s="154" t="s">
        <v>27</v>
      </c>
      <c r="S32" s="145">
        <v>33</v>
      </c>
      <c r="T32" s="155">
        <f t="shared" si="0"/>
        <v>0</v>
      </c>
      <c r="U32" s="154" t="s">
        <v>27</v>
      </c>
      <c r="V32" s="156">
        <f t="shared" si="1"/>
        <v>2</v>
      </c>
      <c r="X32" s="154" t="s">
        <v>53</v>
      </c>
      <c r="Y32" s="154" t="s">
        <v>53</v>
      </c>
      <c r="AA32" s="145" t="s">
        <v>87</v>
      </c>
      <c r="AB32" s="145">
        <v>6</v>
      </c>
      <c r="AC32" s="145" t="s">
        <v>40</v>
      </c>
    </row>
    <row r="33" spans="2:29" ht="12.75">
      <c r="B33" s="159"/>
      <c r="C33" s="159"/>
      <c r="D33" s="159">
        <f t="shared" si="4"/>
        <v>11</v>
      </c>
      <c r="E33" s="159">
        <v>4</v>
      </c>
      <c r="F33" s="160" t="s">
        <v>21</v>
      </c>
      <c r="G33" s="159">
        <v>11</v>
      </c>
      <c r="H33" s="161" t="str">
        <f ca="1" t="shared" si="6"/>
        <v>TV Grohn</v>
      </c>
      <c r="I33" s="162" t="s">
        <v>28</v>
      </c>
      <c r="J33" s="160" t="s">
        <v>21</v>
      </c>
      <c r="K33" s="159">
        <v>15</v>
      </c>
      <c r="L33" s="161" t="str">
        <f ca="1" t="shared" si="5"/>
        <v>TV FA Altenbochum</v>
      </c>
      <c r="M33" s="160" t="s">
        <v>21</v>
      </c>
      <c r="N33" s="159">
        <v>12</v>
      </c>
      <c r="O33" s="161" t="str">
        <f ca="1" t="shared" si="7"/>
        <v>SF Ricklingen</v>
      </c>
      <c r="P33" s="163"/>
      <c r="Q33" s="159">
        <v>34</v>
      </c>
      <c r="R33" s="162" t="s">
        <v>27</v>
      </c>
      <c r="S33" s="159">
        <v>37</v>
      </c>
      <c r="T33" s="164">
        <f t="shared" si="0"/>
        <v>0</v>
      </c>
      <c r="U33" s="162" t="s">
        <v>27</v>
      </c>
      <c r="V33" s="165">
        <f t="shared" si="1"/>
        <v>2</v>
      </c>
      <c r="W33" s="166"/>
      <c r="X33" s="167" t="s">
        <v>53</v>
      </c>
      <c r="Y33" s="167" t="s">
        <v>53</v>
      </c>
      <c r="AA33" s="145" t="s">
        <v>87</v>
      </c>
      <c r="AB33" s="145">
        <v>6</v>
      </c>
      <c r="AC33" s="145" t="s">
        <v>40</v>
      </c>
    </row>
    <row r="34" spans="2:29" ht="12.75">
      <c r="B34" s="145">
        <f>+B30+1</f>
        <v>4</v>
      </c>
      <c r="C34" s="150">
        <f>+Daten!N7</f>
        <v>0.39236111111111105</v>
      </c>
      <c r="D34" s="152"/>
      <c r="E34" s="145">
        <v>1</v>
      </c>
      <c r="F34" s="158" t="s">
        <v>22</v>
      </c>
      <c r="G34" s="152">
        <v>2</v>
      </c>
      <c r="H34" s="153" t="str">
        <f ca="1" t="shared" si="6"/>
        <v>MTV Itzehoe</v>
      </c>
      <c r="I34" s="157" t="s">
        <v>28</v>
      </c>
      <c r="J34" s="158" t="s">
        <v>22</v>
      </c>
      <c r="K34" s="152">
        <v>3</v>
      </c>
      <c r="L34" s="153" t="str">
        <f ca="1" t="shared" si="5"/>
        <v>TV Berkenbaum</v>
      </c>
      <c r="M34" s="158" t="s">
        <v>22</v>
      </c>
      <c r="N34" s="152">
        <v>4</v>
      </c>
      <c r="O34" s="153" t="str">
        <f ca="1" t="shared" si="7"/>
        <v>Barmer TG</v>
      </c>
      <c r="P34" s="147"/>
      <c r="Q34" s="145">
        <v>40</v>
      </c>
      <c r="R34" s="154" t="s">
        <v>27</v>
      </c>
      <c r="S34" s="145">
        <v>37</v>
      </c>
      <c r="T34" s="155">
        <f t="shared" si="0"/>
        <v>2</v>
      </c>
      <c r="U34" s="154" t="s">
        <v>27</v>
      </c>
      <c r="V34" s="156">
        <f t="shared" si="1"/>
        <v>0</v>
      </c>
      <c r="X34" s="154" t="s">
        <v>53</v>
      </c>
      <c r="Y34" s="154" t="s">
        <v>53</v>
      </c>
      <c r="AA34" s="145" t="s">
        <v>87</v>
      </c>
      <c r="AB34" s="145">
        <v>7</v>
      </c>
      <c r="AC34" s="145" t="s">
        <v>40</v>
      </c>
    </row>
    <row r="35" spans="2:29" ht="12.75">
      <c r="B35" s="145"/>
      <c r="C35" s="145"/>
      <c r="D35" s="145">
        <f>+D33+1</f>
        <v>12</v>
      </c>
      <c r="E35" s="145">
        <v>2</v>
      </c>
      <c r="F35" s="151" t="s">
        <v>22</v>
      </c>
      <c r="G35" s="152">
        <v>12</v>
      </c>
      <c r="H35" s="153" t="str">
        <f ca="1" t="shared" si="6"/>
        <v>MTV Wohnste</v>
      </c>
      <c r="I35" s="157" t="s">
        <v>28</v>
      </c>
      <c r="J35" s="151" t="s">
        <v>22</v>
      </c>
      <c r="K35" s="152">
        <v>13</v>
      </c>
      <c r="L35" s="153" t="str">
        <f ca="1" t="shared" si="5"/>
        <v>TV Wertheim</v>
      </c>
      <c r="M35" s="151" t="s">
        <v>22</v>
      </c>
      <c r="N35" s="152">
        <v>14</v>
      </c>
      <c r="O35" s="153" t="str">
        <f ca="1" t="shared" si="7"/>
        <v>TG Giengen</v>
      </c>
      <c r="P35" s="147"/>
      <c r="Q35" s="145">
        <v>31</v>
      </c>
      <c r="R35" s="154" t="s">
        <v>27</v>
      </c>
      <c r="S35" s="145">
        <v>37</v>
      </c>
      <c r="T35" s="155">
        <f t="shared" si="0"/>
        <v>0</v>
      </c>
      <c r="U35" s="154" t="s">
        <v>27</v>
      </c>
      <c r="V35" s="156">
        <f t="shared" si="1"/>
        <v>2</v>
      </c>
      <c r="X35" s="154" t="s">
        <v>53</v>
      </c>
      <c r="Y35" s="154" t="s">
        <v>53</v>
      </c>
      <c r="AA35" s="145" t="s">
        <v>87</v>
      </c>
      <c r="AB35" s="145">
        <v>7</v>
      </c>
      <c r="AC35" s="145" t="s">
        <v>40</v>
      </c>
    </row>
    <row r="36" spans="2:29" ht="12.75">
      <c r="B36" s="145"/>
      <c r="C36" s="145"/>
      <c r="D36" s="145">
        <f t="shared" si="4"/>
        <v>13</v>
      </c>
      <c r="E36" s="145">
        <v>3</v>
      </c>
      <c r="F36" s="158" t="s">
        <v>21</v>
      </c>
      <c r="G36" s="152">
        <v>2</v>
      </c>
      <c r="H36" s="153" t="str">
        <f ca="1" t="shared" si="6"/>
        <v>TSV Kirchdorf</v>
      </c>
      <c r="I36" s="157" t="s">
        <v>28</v>
      </c>
      <c r="J36" s="158" t="s">
        <v>21</v>
      </c>
      <c r="K36" s="152">
        <v>3</v>
      </c>
      <c r="L36" s="153" t="str">
        <f ca="1" t="shared" si="5"/>
        <v>PV Gundernhausen</v>
      </c>
      <c r="M36" s="158" t="s">
        <v>21</v>
      </c>
      <c r="N36" s="152">
        <v>4</v>
      </c>
      <c r="O36" s="153" t="str">
        <f ca="1" t="shared" si="7"/>
        <v>TV Berkenbaum</v>
      </c>
      <c r="P36" s="147"/>
      <c r="Q36" s="145">
        <v>38</v>
      </c>
      <c r="R36" s="154" t="s">
        <v>27</v>
      </c>
      <c r="S36" s="145">
        <v>35</v>
      </c>
      <c r="T36" s="155">
        <f t="shared" si="0"/>
        <v>2</v>
      </c>
      <c r="U36" s="154" t="s">
        <v>27</v>
      </c>
      <c r="V36" s="156">
        <f t="shared" si="1"/>
        <v>0</v>
      </c>
      <c r="X36" s="154" t="s">
        <v>53</v>
      </c>
      <c r="Y36" s="154" t="s">
        <v>53</v>
      </c>
      <c r="AA36" s="145" t="s">
        <v>87</v>
      </c>
      <c r="AB36" s="145">
        <v>8</v>
      </c>
      <c r="AC36" s="145" t="s">
        <v>40</v>
      </c>
    </row>
    <row r="37" spans="2:29" ht="12.75">
      <c r="B37" s="159"/>
      <c r="C37" s="159"/>
      <c r="D37" s="159">
        <f t="shared" si="4"/>
        <v>14</v>
      </c>
      <c r="E37" s="159">
        <v>4</v>
      </c>
      <c r="F37" s="160" t="s">
        <v>21</v>
      </c>
      <c r="G37" s="172">
        <v>12</v>
      </c>
      <c r="H37" s="173" t="str">
        <f ca="1" t="shared" si="6"/>
        <v>SF Ricklingen</v>
      </c>
      <c r="I37" s="167" t="s">
        <v>28</v>
      </c>
      <c r="J37" s="160" t="s">
        <v>21</v>
      </c>
      <c r="K37" s="172">
        <v>13</v>
      </c>
      <c r="L37" s="173" t="str">
        <f ca="1" t="shared" si="5"/>
        <v>TV Offenburg</v>
      </c>
      <c r="M37" s="160" t="s">
        <v>21</v>
      </c>
      <c r="N37" s="172">
        <v>14</v>
      </c>
      <c r="O37" s="173" t="str">
        <f ca="1" t="shared" si="7"/>
        <v>VT Contwig</v>
      </c>
      <c r="P37" s="163"/>
      <c r="Q37" s="159">
        <v>41</v>
      </c>
      <c r="R37" s="162" t="s">
        <v>27</v>
      </c>
      <c r="S37" s="159">
        <v>32</v>
      </c>
      <c r="T37" s="164">
        <f t="shared" si="0"/>
        <v>2</v>
      </c>
      <c r="U37" s="162" t="s">
        <v>27</v>
      </c>
      <c r="V37" s="165">
        <f t="shared" si="1"/>
        <v>0</v>
      </c>
      <c r="W37" s="166"/>
      <c r="X37" s="162" t="s">
        <v>53</v>
      </c>
      <c r="Y37" s="162" t="s">
        <v>53</v>
      </c>
      <c r="AA37" s="145" t="s">
        <v>87</v>
      </c>
      <c r="AB37" s="145">
        <v>8</v>
      </c>
      <c r="AC37" s="145" t="s">
        <v>40</v>
      </c>
    </row>
    <row r="38" spans="2:29" ht="12.75">
      <c r="B38" s="152">
        <f>+B34+1</f>
        <v>5</v>
      </c>
      <c r="C38" s="168">
        <f>+Daten!N8</f>
        <v>0.40972222222222215</v>
      </c>
      <c r="D38" s="152">
        <f t="shared" si="4"/>
        <v>15</v>
      </c>
      <c r="E38" s="152">
        <v>1</v>
      </c>
      <c r="F38" s="151" t="s">
        <v>22</v>
      </c>
      <c r="G38" s="152">
        <v>4</v>
      </c>
      <c r="H38" s="153" t="str">
        <f ca="1" t="shared" si="6"/>
        <v>Barmer TG</v>
      </c>
      <c r="I38" s="157" t="s">
        <v>28</v>
      </c>
      <c r="J38" s="151" t="s">
        <v>22</v>
      </c>
      <c r="K38" s="152">
        <v>5</v>
      </c>
      <c r="L38" s="153" t="str">
        <f ca="1" t="shared" si="5"/>
        <v>TSV Ludwigshafen</v>
      </c>
      <c r="M38" s="151" t="s">
        <v>22</v>
      </c>
      <c r="N38" s="152">
        <v>1</v>
      </c>
      <c r="O38" s="153" t="str">
        <f ca="1" t="shared" si="7"/>
        <v>VfL Oldenburg</v>
      </c>
      <c r="P38" s="169"/>
      <c r="Q38" s="152">
        <v>44</v>
      </c>
      <c r="R38" s="157" t="s">
        <v>27</v>
      </c>
      <c r="S38" s="152">
        <v>38</v>
      </c>
      <c r="T38" s="170">
        <f t="shared" si="0"/>
        <v>2</v>
      </c>
      <c r="U38" s="157" t="s">
        <v>27</v>
      </c>
      <c r="V38" s="171">
        <f t="shared" si="1"/>
        <v>0</v>
      </c>
      <c r="W38" s="166"/>
      <c r="X38" s="157" t="s">
        <v>53</v>
      </c>
      <c r="Y38" s="157" t="s">
        <v>53</v>
      </c>
      <c r="AA38" s="145" t="s">
        <v>87</v>
      </c>
      <c r="AB38" s="145">
        <v>9</v>
      </c>
      <c r="AC38" s="145" t="s">
        <v>40</v>
      </c>
    </row>
    <row r="39" spans="2:29" ht="12.75">
      <c r="B39" s="152"/>
      <c r="C39" s="152"/>
      <c r="D39" s="152">
        <f t="shared" si="4"/>
        <v>16</v>
      </c>
      <c r="E39" s="152">
        <v>2</v>
      </c>
      <c r="F39" s="151" t="s">
        <v>22</v>
      </c>
      <c r="G39" s="152">
        <v>14</v>
      </c>
      <c r="H39" s="153" t="str">
        <f ca="1" t="shared" si="6"/>
        <v>TG Giengen</v>
      </c>
      <c r="I39" s="157" t="s">
        <v>28</v>
      </c>
      <c r="J39" s="151" t="s">
        <v>22</v>
      </c>
      <c r="K39" s="152">
        <v>15</v>
      </c>
      <c r="L39" s="153" t="str">
        <f ca="1" t="shared" si="5"/>
        <v>Betzdorfer TV</v>
      </c>
      <c r="M39" s="151" t="s">
        <v>22</v>
      </c>
      <c r="N39" s="152">
        <v>11</v>
      </c>
      <c r="O39" s="153" t="str">
        <f ca="1" t="shared" si="7"/>
        <v>VSK Osterholz Scharmbeck</v>
      </c>
      <c r="P39" s="169"/>
      <c r="Q39" s="152">
        <v>46</v>
      </c>
      <c r="R39" s="157" t="s">
        <v>27</v>
      </c>
      <c r="S39" s="152">
        <v>31</v>
      </c>
      <c r="T39" s="170">
        <f t="shared" si="0"/>
        <v>2</v>
      </c>
      <c r="U39" s="157" t="s">
        <v>27</v>
      </c>
      <c r="V39" s="171">
        <f t="shared" si="1"/>
        <v>0</v>
      </c>
      <c r="W39" s="166"/>
      <c r="X39" s="157" t="s">
        <v>53</v>
      </c>
      <c r="Y39" s="157" t="s">
        <v>53</v>
      </c>
      <c r="AA39" s="145" t="s">
        <v>87</v>
      </c>
      <c r="AB39" s="145">
        <v>9</v>
      </c>
      <c r="AC39" s="145" t="s">
        <v>40</v>
      </c>
    </row>
    <row r="40" spans="2:29" ht="12.75">
      <c r="B40" s="152"/>
      <c r="C40" s="152"/>
      <c r="D40" s="152">
        <f t="shared" si="4"/>
        <v>17</v>
      </c>
      <c r="E40" s="152">
        <v>3</v>
      </c>
      <c r="F40" s="158" t="s">
        <v>21</v>
      </c>
      <c r="G40" s="145">
        <v>4</v>
      </c>
      <c r="H40" s="153" t="str">
        <f ca="1" t="shared" si="6"/>
        <v>TV Berkenbaum</v>
      </c>
      <c r="I40" s="154" t="s">
        <v>28</v>
      </c>
      <c r="J40" s="158" t="s">
        <v>21</v>
      </c>
      <c r="K40" s="145">
        <v>5</v>
      </c>
      <c r="L40" s="153" t="str">
        <f ca="1" t="shared" si="5"/>
        <v>TV Wertheim</v>
      </c>
      <c r="M40" s="158" t="s">
        <v>21</v>
      </c>
      <c r="N40" s="145">
        <v>1</v>
      </c>
      <c r="O40" s="153" t="str">
        <f ca="1" t="shared" si="7"/>
        <v>TSV Burgdorf</v>
      </c>
      <c r="P40" s="169"/>
      <c r="Q40" s="152">
        <v>41</v>
      </c>
      <c r="R40" s="157" t="s">
        <v>27</v>
      </c>
      <c r="S40" s="152">
        <v>40</v>
      </c>
      <c r="T40" s="170">
        <f t="shared" si="0"/>
        <v>2</v>
      </c>
      <c r="U40" s="157" t="s">
        <v>27</v>
      </c>
      <c r="V40" s="171">
        <f t="shared" si="1"/>
        <v>0</v>
      </c>
      <c r="W40" s="166"/>
      <c r="X40" s="157" t="s">
        <v>53</v>
      </c>
      <c r="Y40" s="157" t="s">
        <v>53</v>
      </c>
      <c r="AA40" s="145" t="s">
        <v>87</v>
      </c>
      <c r="AB40" s="145">
        <v>10</v>
      </c>
      <c r="AC40" s="145" t="s">
        <v>40</v>
      </c>
    </row>
    <row r="41" spans="2:29" ht="12.75">
      <c r="B41" s="159"/>
      <c r="C41" s="159"/>
      <c r="D41" s="159">
        <f t="shared" si="4"/>
        <v>18</v>
      </c>
      <c r="E41" s="159">
        <v>4</v>
      </c>
      <c r="F41" s="160" t="s">
        <v>21</v>
      </c>
      <c r="G41" s="159">
        <v>14</v>
      </c>
      <c r="H41" s="161" t="str">
        <f ca="1" t="shared" si="6"/>
        <v>VT Contwig</v>
      </c>
      <c r="I41" s="162" t="s">
        <v>28</v>
      </c>
      <c r="J41" s="160" t="s">
        <v>21</v>
      </c>
      <c r="K41" s="159">
        <v>15</v>
      </c>
      <c r="L41" s="161" t="str">
        <f ca="1" t="shared" si="5"/>
        <v>TV FA Altenbochum</v>
      </c>
      <c r="M41" s="160" t="s">
        <v>21</v>
      </c>
      <c r="N41" s="159">
        <v>11</v>
      </c>
      <c r="O41" s="161" t="str">
        <f ca="1" t="shared" si="7"/>
        <v>TV Grohn</v>
      </c>
      <c r="P41" s="163"/>
      <c r="Q41" s="159">
        <v>35</v>
      </c>
      <c r="R41" s="162" t="s">
        <v>27</v>
      </c>
      <c r="S41" s="159">
        <v>42</v>
      </c>
      <c r="T41" s="164">
        <f t="shared" si="0"/>
        <v>0</v>
      </c>
      <c r="U41" s="162" t="s">
        <v>27</v>
      </c>
      <c r="V41" s="165">
        <f t="shared" si="1"/>
        <v>2</v>
      </c>
      <c r="W41" s="166"/>
      <c r="X41" s="162" t="s">
        <v>53</v>
      </c>
      <c r="Y41" s="162" t="s">
        <v>53</v>
      </c>
      <c r="AA41" s="145" t="s">
        <v>87</v>
      </c>
      <c r="AB41" s="145">
        <v>10</v>
      </c>
      <c r="AC41" s="145" t="s">
        <v>40</v>
      </c>
    </row>
    <row r="42" spans="2:29" ht="12.75">
      <c r="B42" s="152">
        <f>+B38+1</f>
        <v>6</v>
      </c>
      <c r="C42" s="168">
        <f>+Daten!N9</f>
        <v>0.42708333333333326</v>
      </c>
      <c r="D42" s="152">
        <f t="shared" si="4"/>
        <v>19</v>
      </c>
      <c r="E42" s="152">
        <v>1</v>
      </c>
      <c r="F42" s="158" t="s">
        <v>22</v>
      </c>
      <c r="G42" s="152">
        <v>1</v>
      </c>
      <c r="H42" s="153" t="str">
        <f ca="1" t="shared" si="6"/>
        <v>VfL Oldenburg</v>
      </c>
      <c r="I42" s="157" t="s">
        <v>28</v>
      </c>
      <c r="J42" s="158" t="s">
        <v>22</v>
      </c>
      <c r="K42" s="152">
        <v>3</v>
      </c>
      <c r="L42" s="153" t="str">
        <f ca="1" t="shared" si="5"/>
        <v>TV Berkenbaum</v>
      </c>
      <c r="M42" s="158" t="s">
        <v>22</v>
      </c>
      <c r="N42" s="152">
        <v>2</v>
      </c>
      <c r="O42" s="153" t="str">
        <f ca="1" t="shared" si="7"/>
        <v>MTV Itzehoe</v>
      </c>
      <c r="P42" s="169"/>
      <c r="Q42" s="152">
        <v>40</v>
      </c>
      <c r="R42" s="157" t="s">
        <v>27</v>
      </c>
      <c r="S42" s="152">
        <v>43</v>
      </c>
      <c r="T42" s="170">
        <f t="shared" si="0"/>
        <v>0</v>
      </c>
      <c r="U42" s="157" t="s">
        <v>27</v>
      </c>
      <c r="V42" s="171">
        <f t="shared" si="1"/>
        <v>2</v>
      </c>
      <c r="W42" s="166"/>
      <c r="X42" s="157" t="s">
        <v>53</v>
      </c>
      <c r="Y42" s="157" t="s">
        <v>53</v>
      </c>
      <c r="AA42" s="145" t="s">
        <v>87</v>
      </c>
      <c r="AB42" s="145">
        <v>11</v>
      </c>
      <c r="AC42" s="145" t="s">
        <v>40</v>
      </c>
    </row>
    <row r="43" spans="2:29" ht="12.75">
      <c r="B43" s="152"/>
      <c r="C43" s="152"/>
      <c r="D43" s="152">
        <f t="shared" si="4"/>
        <v>20</v>
      </c>
      <c r="E43" s="152">
        <v>2</v>
      </c>
      <c r="F43" s="151" t="s">
        <v>22</v>
      </c>
      <c r="G43" s="152">
        <v>11</v>
      </c>
      <c r="H43" s="153" t="str">
        <f ca="1" t="shared" si="6"/>
        <v>VSK Osterholz Scharmbeck</v>
      </c>
      <c r="I43" s="157" t="s">
        <v>28</v>
      </c>
      <c r="J43" s="151" t="s">
        <v>22</v>
      </c>
      <c r="K43" s="152">
        <v>13</v>
      </c>
      <c r="L43" s="153" t="str">
        <f ca="1" t="shared" si="5"/>
        <v>TV Wertheim</v>
      </c>
      <c r="M43" s="151" t="s">
        <v>22</v>
      </c>
      <c r="N43" s="152">
        <v>12</v>
      </c>
      <c r="O43" s="153" t="str">
        <f ca="1" t="shared" si="7"/>
        <v>MTV Wohnste</v>
      </c>
      <c r="P43" s="169"/>
      <c r="Q43" s="152">
        <v>33</v>
      </c>
      <c r="R43" s="157" t="s">
        <v>27</v>
      </c>
      <c r="S43" s="152">
        <v>43</v>
      </c>
      <c r="T43" s="170">
        <f t="shared" si="0"/>
        <v>0</v>
      </c>
      <c r="U43" s="157" t="s">
        <v>27</v>
      </c>
      <c r="V43" s="171">
        <f t="shared" si="1"/>
        <v>2</v>
      </c>
      <c r="W43" s="166"/>
      <c r="X43" s="157" t="s">
        <v>53</v>
      </c>
      <c r="Y43" s="157" t="s">
        <v>53</v>
      </c>
      <c r="AA43" s="145" t="s">
        <v>87</v>
      </c>
      <c r="AB43" s="145">
        <v>11</v>
      </c>
      <c r="AC43" s="145" t="s">
        <v>40</v>
      </c>
    </row>
    <row r="44" spans="2:29" ht="12.75">
      <c r="B44" s="152"/>
      <c r="C44" s="152"/>
      <c r="D44" s="152">
        <f t="shared" si="4"/>
        <v>21</v>
      </c>
      <c r="E44" s="152">
        <v>3</v>
      </c>
      <c r="F44" s="158" t="s">
        <v>21</v>
      </c>
      <c r="G44" s="152">
        <v>1</v>
      </c>
      <c r="H44" s="153" t="str">
        <f ca="1" t="shared" si="6"/>
        <v>TSV Burgdorf</v>
      </c>
      <c r="I44" s="157" t="s">
        <v>28</v>
      </c>
      <c r="J44" s="158" t="s">
        <v>21</v>
      </c>
      <c r="K44" s="152">
        <v>3</v>
      </c>
      <c r="L44" s="153" t="str">
        <f ca="1" t="shared" si="5"/>
        <v>PV Gundernhausen</v>
      </c>
      <c r="M44" s="158" t="s">
        <v>21</v>
      </c>
      <c r="N44" s="152">
        <v>2</v>
      </c>
      <c r="O44" s="153" t="str">
        <f ca="1" t="shared" si="7"/>
        <v>TSV Kirchdorf</v>
      </c>
      <c r="P44" s="169"/>
      <c r="Q44" s="152">
        <v>34</v>
      </c>
      <c r="R44" s="157" t="s">
        <v>27</v>
      </c>
      <c r="S44" s="152">
        <v>34</v>
      </c>
      <c r="T44" s="170">
        <f t="shared" si="0"/>
        <v>1</v>
      </c>
      <c r="U44" s="157" t="s">
        <v>27</v>
      </c>
      <c r="V44" s="171">
        <f t="shared" si="1"/>
        <v>1</v>
      </c>
      <c r="W44" s="166"/>
      <c r="X44" s="157" t="s">
        <v>53</v>
      </c>
      <c r="Y44" s="157" t="s">
        <v>53</v>
      </c>
      <c r="AA44" s="145" t="s">
        <v>87</v>
      </c>
      <c r="AB44" s="145">
        <v>12</v>
      </c>
      <c r="AC44" s="145" t="s">
        <v>40</v>
      </c>
    </row>
    <row r="45" spans="2:29" ht="12.75">
      <c r="B45" s="172"/>
      <c r="C45" s="172"/>
      <c r="D45" s="172">
        <f t="shared" si="4"/>
        <v>22</v>
      </c>
      <c r="E45" s="172">
        <v>4</v>
      </c>
      <c r="F45" s="160" t="s">
        <v>21</v>
      </c>
      <c r="G45" s="159">
        <v>11</v>
      </c>
      <c r="H45" s="161" t="str">
        <f ca="1" t="shared" si="6"/>
        <v>TV Grohn</v>
      </c>
      <c r="I45" s="162" t="s">
        <v>28</v>
      </c>
      <c r="J45" s="160" t="s">
        <v>21</v>
      </c>
      <c r="K45" s="159">
        <v>13</v>
      </c>
      <c r="L45" s="161" t="str">
        <f ca="1" t="shared" si="5"/>
        <v>TV Offenburg</v>
      </c>
      <c r="M45" s="160" t="s">
        <v>21</v>
      </c>
      <c r="N45" s="159">
        <v>12</v>
      </c>
      <c r="O45" s="161" t="str">
        <f ca="1" t="shared" si="7"/>
        <v>SF Ricklingen</v>
      </c>
      <c r="P45" s="174"/>
      <c r="Q45" s="172">
        <v>48</v>
      </c>
      <c r="R45" s="167" t="s">
        <v>27</v>
      </c>
      <c r="S45" s="172">
        <v>38</v>
      </c>
      <c r="T45" s="175">
        <f t="shared" si="0"/>
        <v>2</v>
      </c>
      <c r="U45" s="167" t="s">
        <v>27</v>
      </c>
      <c r="V45" s="176">
        <f t="shared" si="1"/>
        <v>0</v>
      </c>
      <c r="W45" s="166"/>
      <c r="X45" s="162" t="s">
        <v>53</v>
      </c>
      <c r="Y45" s="162" t="s">
        <v>53</v>
      </c>
      <c r="AA45" s="145" t="s">
        <v>87</v>
      </c>
      <c r="AB45" s="145">
        <v>12</v>
      </c>
      <c r="AC45" s="145" t="s">
        <v>40</v>
      </c>
    </row>
    <row r="46" spans="2:29" ht="12.75">
      <c r="B46" s="152">
        <f>+B42+1</f>
        <v>7</v>
      </c>
      <c r="C46" s="168">
        <f>+Daten!N10</f>
        <v>0.44444444444444436</v>
      </c>
      <c r="D46" s="152"/>
      <c r="E46" s="152">
        <v>1</v>
      </c>
      <c r="F46" s="151" t="s">
        <v>22</v>
      </c>
      <c r="G46" s="152">
        <v>2</v>
      </c>
      <c r="H46" s="153" t="str">
        <f ca="1" t="shared" si="6"/>
        <v>MTV Itzehoe</v>
      </c>
      <c r="I46" s="157" t="s">
        <v>28</v>
      </c>
      <c r="J46" s="151" t="s">
        <v>22</v>
      </c>
      <c r="K46" s="152">
        <v>4</v>
      </c>
      <c r="L46" s="153" t="str">
        <f ca="1" t="shared" si="5"/>
        <v>Barmer TG</v>
      </c>
      <c r="M46" s="151" t="s">
        <v>22</v>
      </c>
      <c r="N46" s="152">
        <v>5</v>
      </c>
      <c r="O46" s="153" t="str">
        <f ca="1" t="shared" si="7"/>
        <v>TSV Ludwigshafen</v>
      </c>
      <c r="P46" s="169"/>
      <c r="Q46" s="152">
        <v>37</v>
      </c>
      <c r="R46" s="157" t="s">
        <v>27</v>
      </c>
      <c r="S46" s="152">
        <v>42</v>
      </c>
      <c r="T46" s="170">
        <f t="shared" si="0"/>
        <v>0</v>
      </c>
      <c r="U46" s="157" t="s">
        <v>27</v>
      </c>
      <c r="V46" s="171">
        <f t="shared" si="1"/>
        <v>2</v>
      </c>
      <c r="W46" s="166"/>
      <c r="X46" s="157" t="s">
        <v>53</v>
      </c>
      <c r="Y46" s="157" t="s">
        <v>53</v>
      </c>
      <c r="AA46" s="145" t="s">
        <v>87</v>
      </c>
      <c r="AB46" s="145">
        <v>13</v>
      </c>
      <c r="AC46" s="145" t="s">
        <v>40</v>
      </c>
    </row>
    <row r="47" spans="2:29" ht="12.75">
      <c r="B47" s="152"/>
      <c r="C47" s="152"/>
      <c r="D47" s="152">
        <f>+D45+1</f>
        <v>23</v>
      </c>
      <c r="E47" s="152">
        <v>2</v>
      </c>
      <c r="F47" s="151" t="s">
        <v>22</v>
      </c>
      <c r="G47" s="152">
        <v>12</v>
      </c>
      <c r="H47" s="153" t="str">
        <f ca="1" t="shared" si="6"/>
        <v>MTV Wohnste</v>
      </c>
      <c r="I47" s="157" t="s">
        <v>28</v>
      </c>
      <c r="J47" s="151" t="s">
        <v>22</v>
      </c>
      <c r="K47" s="152">
        <v>14</v>
      </c>
      <c r="L47" s="153" t="str">
        <f ca="1" t="shared" si="5"/>
        <v>TG Giengen</v>
      </c>
      <c r="M47" s="151" t="s">
        <v>22</v>
      </c>
      <c r="N47" s="152">
        <v>15</v>
      </c>
      <c r="O47" s="153" t="str">
        <f ca="1" t="shared" si="7"/>
        <v>Betzdorfer TV</v>
      </c>
      <c r="P47" s="169"/>
      <c r="Q47" s="152">
        <v>31</v>
      </c>
      <c r="R47" s="157" t="s">
        <v>27</v>
      </c>
      <c r="S47" s="152">
        <v>40</v>
      </c>
      <c r="T47" s="170">
        <f t="shared" si="0"/>
        <v>0</v>
      </c>
      <c r="U47" s="157" t="s">
        <v>27</v>
      </c>
      <c r="V47" s="171">
        <f t="shared" si="1"/>
        <v>2</v>
      </c>
      <c r="W47" s="166"/>
      <c r="X47" s="157" t="s">
        <v>53</v>
      </c>
      <c r="Y47" s="157" t="s">
        <v>53</v>
      </c>
      <c r="AA47" s="145" t="s">
        <v>87</v>
      </c>
      <c r="AB47" s="145">
        <v>13</v>
      </c>
      <c r="AC47" s="145" t="s">
        <v>40</v>
      </c>
    </row>
    <row r="48" spans="2:29" ht="12.75">
      <c r="B48" s="152"/>
      <c r="C48" s="152"/>
      <c r="D48" s="152">
        <f t="shared" si="4"/>
        <v>24</v>
      </c>
      <c r="E48" s="152">
        <v>3</v>
      </c>
      <c r="F48" s="158" t="s">
        <v>21</v>
      </c>
      <c r="G48" s="152">
        <v>2</v>
      </c>
      <c r="H48" s="153" t="str">
        <f ca="1" t="shared" si="6"/>
        <v>TSV Kirchdorf</v>
      </c>
      <c r="I48" s="157" t="s">
        <v>28</v>
      </c>
      <c r="J48" s="158" t="s">
        <v>21</v>
      </c>
      <c r="K48" s="152">
        <v>4</v>
      </c>
      <c r="L48" s="153" t="str">
        <f ca="1" t="shared" si="5"/>
        <v>TV Berkenbaum</v>
      </c>
      <c r="M48" s="158" t="s">
        <v>21</v>
      </c>
      <c r="N48" s="152">
        <v>5</v>
      </c>
      <c r="O48" s="153" t="str">
        <f ca="1" t="shared" si="7"/>
        <v>TV Wertheim</v>
      </c>
      <c r="P48" s="169"/>
      <c r="Q48" s="152">
        <v>33</v>
      </c>
      <c r="R48" s="157" t="s">
        <v>27</v>
      </c>
      <c r="S48" s="152">
        <v>34</v>
      </c>
      <c r="T48" s="170">
        <f t="shared" si="0"/>
        <v>0</v>
      </c>
      <c r="U48" s="157" t="s">
        <v>27</v>
      </c>
      <c r="V48" s="171">
        <f t="shared" si="1"/>
        <v>2</v>
      </c>
      <c r="W48" s="166"/>
      <c r="X48" s="157" t="s">
        <v>53</v>
      </c>
      <c r="Y48" s="157" t="s">
        <v>53</v>
      </c>
      <c r="AA48" s="145" t="s">
        <v>87</v>
      </c>
      <c r="AB48" s="145">
        <v>14</v>
      </c>
      <c r="AC48" s="145" t="s">
        <v>40</v>
      </c>
    </row>
    <row r="49" spans="2:29" ht="12.75">
      <c r="B49" s="159"/>
      <c r="C49" s="159"/>
      <c r="D49" s="159">
        <f t="shared" si="4"/>
        <v>25</v>
      </c>
      <c r="E49" s="159">
        <v>4</v>
      </c>
      <c r="F49" s="160" t="s">
        <v>21</v>
      </c>
      <c r="G49" s="159">
        <v>12</v>
      </c>
      <c r="H49" s="161" t="str">
        <f ca="1" t="shared" si="8" ref="H49:H61">INDIRECT(ADDRESS(MATCH(G49,$A$1:$A$19,0),MATCH(F49,$A$3:$AE$3,0)))</f>
        <v>SF Ricklingen</v>
      </c>
      <c r="I49" s="162" t="s">
        <v>28</v>
      </c>
      <c r="J49" s="160" t="s">
        <v>21</v>
      </c>
      <c r="K49" s="159">
        <v>14</v>
      </c>
      <c r="L49" s="161" t="str">
        <f ca="1" t="shared" si="5"/>
        <v>VT Contwig</v>
      </c>
      <c r="M49" s="160" t="s">
        <v>21</v>
      </c>
      <c r="N49" s="159">
        <v>15</v>
      </c>
      <c r="O49" s="161" t="str">
        <f ca="1" t="shared" si="7"/>
        <v>TV FA Altenbochum</v>
      </c>
      <c r="P49" s="163"/>
      <c r="Q49" s="159">
        <v>50</v>
      </c>
      <c r="R49" s="162" t="s">
        <v>27</v>
      </c>
      <c r="S49" s="159">
        <v>24</v>
      </c>
      <c r="T49" s="164">
        <f t="shared" si="0"/>
        <v>2</v>
      </c>
      <c r="U49" s="162" t="s">
        <v>27</v>
      </c>
      <c r="V49" s="165">
        <f t="shared" si="1"/>
        <v>0</v>
      </c>
      <c r="W49" s="166"/>
      <c r="X49" s="162" t="s">
        <v>53</v>
      </c>
      <c r="Y49" s="162" t="s">
        <v>53</v>
      </c>
      <c r="AA49" s="145" t="s">
        <v>87</v>
      </c>
      <c r="AB49" s="145">
        <v>14</v>
      </c>
      <c r="AC49" s="145" t="s">
        <v>40</v>
      </c>
    </row>
    <row r="50" spans="2:29" ht="12.75">
      <c r="B50" s="152">
        <f>+B46+1</f>
        <v>8</v>
      </c>
      <c r="C50" s="168">
        <f>+Daten!N11</f>
        <v>0.46180555555555547</v>
      </c>
      <c r="D50" s="152">
        <f t="shared" si="4"/>
        <v>26</v>
      </c>
      <c r="E50" s="152">
        <v>1</v>
      </c>
      <c r="F50" s="158" t="s">
        <v>22</v>
      </c>
      <c r="G50" s="152">
        <v>3</v>
      </c>
      <c r="H50" s="153" t="str">
        <f ca="1" t="shared" si="8"/>
        <v>TV Berkenbaum</v>
      </c>
      <c r="I50" s="157" t="s">
        <v>28</v>
      </c>
      <c r="J50" s="158" t="s">
        <v>22</v>
      </c>
      <c r="K50" s="152">
        <v>5</v>
      </c>
      <c r="L50" s="153" t="str">
        <f ca="1" t="shared" si="5"/>
        <v>TSV Ludwigshafen</v>
      </c>
      <c r="M50" s="158" t="s">
        <v>22</v>
      </c>
      <c r="N50" s="152">
        <v>1</v>
      </c>
      <c r="O50" s="153" t="str">
        <f ca="1" t="shared" si="7"/>
        <v>VfL Oldenburg</v>
      </c>
      <c r="P50" s="169"/>
      <c r="Q50" s="152">
        <v>35</v>
      </c>
      <c r="R50" s="157" t="s">
        <v>27</v>
      </c>
      <c r="S50" s="152">
        <v>47</v>
      </c>
      <c r="T50" s="170">
        <f t="shared" si="0"/>
        <v>0</v>
      </c>
      <c r="U50" s="157" t="s">
        <v>27</v>
      </c>
      <c r="V50" s="171">
        <f t="shared" si="1"/>
        <v>2</v>
      </c>
      <c r="W50" s="166"/>
      <c r="X50" s="157" t="s">
        <v>53</v>
      </c>
      <c r="Y50" s="157" t="s">
        <v>53</v>
      </c>
      <c r="AA50" s="145" t="s">
        <v>87</v>
      </c>
      <c r="AB50" s="145">
        <v>15</v>
      </c>
      <c r="AC50" s="145" t="s">
        <v>40</v>
      </c>
    </row>
    <row r="51" spans="2:29" ht="12.75">
      <c r="B51" s="152"/>
      <c r="C51" s="152"/>
      <c r="D51" s="152">
        <f t="shared" si="4"/>
        <v>27</v>
      </c>
      <c r="E51" s="152">
        <v>2</v>
      </c>
      <c r="F51" s="151" t="s">
        <v>22</v>
      </c>
      <c r="G51" s="152">
        <v>13</v>
      </c>
      <c r="H51" s="153" t="str">
        <f ca="1" t="shared" si="8"/>
        <v>TV Wertheim</v>
      </c>
      <c r="I51" s="157" t="s">
        <v>28</v>
      </c>
      <c r="J51" s="151" t="s">
        <v>22</v>
      </c>
      <c r="K51" s="152">
        <v>15</v>
      </c>
      <c r="L51" s="153" t="str">
        <f ca="1" t="shared" si="5"/>
        <v>Betzdorfer TV</v>
      </c>
      <c r="M51" s="151" t="s">
        <v>22</v>
      </c>
      <c r="N51" s="152">
        <v>11</v>
      </c>
      <c r="O51" s="153" t="str">
        <f ca="1" t="shared" si="7"/>
        <v>VSK Osterholz Scharmbeck</v>
      </c>
      <c r="P51" s="169"/>
      <c r="Q51" s="152">
        <v>46</v>
      </c>
      <c r="R51" s="157" t="s">
        <v>27</v>
      </c>
      <c r="S51" s="152">
        <v>24</v>
      </c>
      <c r="T51" s="170">
        <f t="shared" si="0"/>
        <v>2</v>
      </c>
      <c r="U51" s="157" t="s">
        <v>27</v>
      </c>
      <c r="V51" s="171">
        <f t="shared" si="1"/>
        <v>0</v>
      </c>
      <c r="W51" s="166"/>
      <c r="X51" s="157" t="s">
        <v>53</v>
      </c>
      <c r="Y51" s="157" t="s">
        <v>53</v>
      </c>
      <c r="AA51" s="145" t="s">
        <v>87</v>
      </c>
      <c r="AB51" s="145">
        <v>15</v>
      </c>
      <c r="AC51" s="145" t="s">
        <v>40</v>
      </c>
    </row>
    <row r="52" spans="2:29" ht="12.75">
      <c r="B52" s="152"/>
      <c r="C52" s="152"/>
      <c r="D52" s="152">
        <f t="shared" si="4"/>
        <v>28</v>
      </c>
      <c r="E52" s="152">
        <v>3</v>
      </c>
      <c r="F52" s="158" t="s">
        <v>21</v>
      </c>
      <c r="G52" s="152">
        <v>3</v>
      </c>
      <c r="H52" s="153" t="str">
        <f ca="1" t="shared" si="8"/>
        <v>PV Gundernhausen</v>
      </c>
      <c r="I52" s="157" t="s">
        <v>28</v>
      </c>
      <c r="J52" s="158" t="s">
        <v>21</v>
      </c>
      <c r="K52" s="152">
        <v>5</v>
      </c>
      <c r="L52" s="153" t="str">
        <f ca="1" t="shared" si="5"/>
        <v>TV Wertheim</v>
      </c>
      <c r="M52" s="158" t="s">
        <v>21</v>
      </c>
      <c r="N52" s="152">
        <v>1</v>
      </c>
      <c r="O52" s="153" t="str">
        <f ca="1" t="shared" si="7"/>
        <v>TSV Burgdorf</v>
      </c>
      <c r="P52" s="169"/>
      <c r="Q52" s="152">
        <v>33</v>
      </c>
      <c r="R52" s="157" t="s">
        <v>27</v>
      </c>
      <c r="S52" s="152">
        <v>41</v>
      </c>
      <c r="T52" s="170">
        <f t="shared" si="0"/>
        <v>0</v>
      </c>
      <c r="U52" s="157" t="s">
        <v>27</v>
      </c>
      <c r="V52" s="171">
        <f t="shared" si="1"/>
        <v>2</v>
      </c>
      <c r="W52" s="166"/>
      <c r="X52" s="157" t="s">
        <v>53</v>
      </c>
      <c r="Y52" s="157" t="s">
        <v>53</v>
      </c>
      <c r="AA52" s="145" t="s">
        <v>87</v>
      </c>
      <c r="AB52" s="145">
        <v>16</v>
      </c>
      <c r="AC52" s="145" t="s">
        <v>40</v>
      </c>
    </row>
    <row r="53" spans="2:29" ht="12.75">
      <c r="B53" s="159"/>
      <c r="C53" s="159"/>
      <c r="D53" s="159">
        <f t="shared" si="4"/>
        <v>29</v>
      </c>
      <c r="E53" s="159">
        <v>4</v>
      </c>
      <c r="F53" s="160" t="s">
        <v>21</v>
      </c>
      <c r="G53" s="159">
        <v>13</v>
      </c>
      <c r="H53" s="161" t="str">
        <f ca="1" t="shared" si="8"/>
        <v>TV Offenburg</v>
      </c>
      <c r="I53" s="162" t="s">
        <v>28</v>
      </c>
      <c r="J53" s="160" t="s">
        <v>21</v>
      </c>
      <c r="K53" s="159">
        <v>15</v>
      </c>
      <c r="L53" s="161" t="str">
        <f ca="1" t="shared" si="5"/>
        <v>TV FA Altenbochum</v>
      </c>
      <c r="M53" s="160" t="s">
        <v>21</v>
      </c>
      <c r="N53" s="159">
        <v>11</v>
      </c>
      <c r="O53" s="161" t="str">
        <f ca="1" t="shared" si="7"/>
        <v>TV Grohn</v>
      </c>
      <c r="P53" s="163"/>
      <c r="Q53" s="159">
        <v>44</v>
      </c>
      <c r="R53" s="162" t="s">
        <v>27</v>
      </c>
      <c r="S53" s="159">
        <v>47</v>
      </c>
      <c r="T53" s="164">
        <f t="shared" si="0"/>
        <v>0</v>
      </c>
      <c r="U53" s="162" t="s">
        <v>27</v>
      </c>
      <c r="V53" s="165">
        <f t="shared" si="1"/>
        <v>2</v>
      </c>
      <c r="W53" s="166"/>
      <c r="X53" s="162" t="s">
        <v>53</v>
      </c>
      <c r="Y53" s="162" t="s">
        <v>53</v>
      </c>
      <c r="AA53" s="145" t="s">
        <v>87</v>
      </c>
      <c r="AB53" s="145">
        <v>16</v>
      </c>
      <c r="AC53" s="145" t="s">
        <v>40</v>
      </c>
    </row>
    <row r="54" spans="2:29" ht="12.75">
      <c r="B54" s="152">
        <f>+B50+1</f>
        <v>9</v>
      </c>
      <c r="C54" s="168">
        <f>+Daten!N12</f>
        <v>0.4791666666666666</v>
      </c>
      <c r="D54" s="152">
        <f t="shared" si="4"/>
        <v>30</v>
      </c>
      <c r="E54" s="152">
        <v>1</v>
      </c>
      <c r="F54" s="151" t="s">
        <v>22</v>
      </c>
      <c r="G54" s="152">
        <v>1</v>
      </c>
      <c r="H54" s="153" t="str">
        <f ca="1" t="shared" si="8"/>
        <v>VfL Oldenburg</v>
      </c>
      <c r="I54" s="157" t="s">
        <v>28</v>
      </c>
      <c r="J54" s="151" t="s">
        <v>22</v>
      </c>
      <c r="K54" s="152">
        <v>4</v>
      </c>
      <c r="L54" s="153" t="str">
        <f ca="1" t="shared" si="5"/>
        <v>Barmer TG</v>
      </c>
      <c r="M54" s="151" t="s">
        <v>22</v>
      </c>
      <c r="N54" s="152">
        <v>3</v>
      </c>
      <c r="O54" s="153" t="str">
        <f ca="1" t="shared" si="7"/>
        <v>TV Berkenbaum</v>
      </c>
      <c r="P54" s="169"/>
      <c r="Q54" s="152">
        <v>34</v>
      </c>
      <c r="R54" s="157" t="s">
        <v>27</v>
      </c>
      <c r="S54" s="152">
        <v>43</v>
      </c>
      <c r="T54" s="170">
        <f>IF(Q54="","",IF(Q54&gt;S54,2,IF(Q54&lt;S54,0,1)))</f>
        <v>0</v>
      </c>
      <c r="U54" s="157" t="s">
        <v>27</v>
      </c>
      <c r="V54" s="171">
        <f>IF(S54="","",IF(S54&gt;Q54,2,IF(S54&lt;Q54,0,1)))</f>
        <v>2</v>
      </c>
      <c r="W54" s="166"/>
      <c r="X54" s="157" t="s">
        <v>53</v>
      </c>
      <c r="Y54" s="157" t="s">
        <v>53</v>
      </c>
      <c r="AA54" s="145" t="s">
        <v>87</v>
      </c>
      <c r="AB54" s="145">
        <v>17</v>
      </c>
      <c r="AC54" s="145" t="s">
        <v>40</v>
      </c>
    </row>
    <row r="55" spans="2:29" ht="12.75">
      <c r="B55" s="152"/>
      <c r="C55" s="152"/>
      <c r="D55" s="152">
        <f t="shared" si="4"/>
        <v>31</v>
      </c>
      <c r="E55" s="152">
        <v>2</v>
      </c>
      <c r="F55" s="151" t="s">
        <v>22</v>
      </c>
      <c r="G55" s="152">
        <v>11</v>
      </c>
      <c r="H55" s="153" t="str">
        <f ca="1" t="shared" si="8"/>
        <v>VSK Osterholz Scharmbeck</v>
      </c>
      <c r="I55" s="157" t="s">
        <v>28</v>
      </c>
      <c r="J55" s="151" t="s">
        <v>22</v>
      </c>
      <c r="K55" s="152">
        <v>14</v>
      </c>
      <c r="L55" s="153" t="str">
        <f ca="1" t="shared" si="5"/>
        <v>TG Giengen</v>
      </c>
      <c r="M55" s="151" t="s">
        <v>22</v>
      </c>
      <c r="N55" s="152">
        <v>13</v>
      </c>
      <c r="O55" s="153" t="str">
        <f ca="1" t="shared" si="7"/>
        <v>TV Wertheim</v>
      </c>
      <c r="P55" s="169"/>
      <c r="Q55" s="152">
        <v>32</v>
      </c>
      <c r="R55" s="157" t="s">
        <v>27</v>
      </c>
      <c r="S55" s="152">
        <v>47</v>
      </c>
      <c r="T55" s="170">
        <f>IF(Q55="","",IF(Q55&gt;S55,2,IF(Q55&lt;S55,0,1)))</f>
        <v>0</v>
      </c>
      <c r="U55" s="157" t="s">
        <v>27</v>
      </c>
      <c r="V55" s="171">
        <f>IF(S55="","",IF(S55&gt;Q55,2,IF(S55&lt;Q55,0,1)))</f>
        <v>2</v>
      </c>
      <c r="W55" s="166"/>
      <c r="X55" s="157" t="s">
        <v>53</v>
      </c>
      <c r="Y55" s="157" t="s">
        <v>53</v>
      </c>
      <c r="AA55" s="145" t="s">
        <v>87</v>
      </c>
      <c r="AB55" s="145">
        <v>17</v>
      </c>
      <c r="AC55" s="145" t="s">
        <v>40</v>
      </c>
    </row>
    <row r="56" spans="2:29" ht="12.75">
      <c r="B56" s="152"/>
      <c r="C56" s="152"/>
      <c r="D56" s="152">
        <f t="shared" si="4"/>
        <v>32</v>
      </c>
      <c r="E56" s="152">
        <v>3</v>
      </c>
      <c r="F56" s="158" t="s">
        <v>21</v>
      </c>
      <c r="G56" s="152">
        <v>1</v>
      </c>
      <c r="H56" s="153" t="str">
        <f ca="1" t="shared" si="8"/>
        <v>TSV Burgdorf</v>
      </c>
      <c r="I56" s="157" t="s">
        <v>28</v>
      </c>
      <c r="J56" s="158" t="s">
        <v>21</v>
      </c>
      <c r="K56" s="152">
        <v>4</v>
      </c>
      <c r="L56" s="153" t="str">
        <f ca="1" t="shared" si="5"/>
        <v>TV Berkenbaum</v>
      </c>
      <c r="M56" s="158" t="s">
        <v>21</v>
      </c>
      <c r="N56" s="152">
        <v>3</v>
      </c>
      <c r="O56" s="153" t="str">
        <f ca="1" t="shared" si="7"/>
        <v>PV Gundernhausen</v>
      </c>
      <c r="P56" s="169"/>
      <c r="Q56" s="152">
        <v>38</v>
      </c>
      <c r="R56" s="157" t="s">
        <v>27</v>
      </c>
      <c r="S56" s="152">
        <v>36</v>
      </c>
      <c r="T56" s="170">
        <f>IF(Q56="","",IF(Q56&gt;S56,2,IF(Q56&lt;S56,0,1)))</f>
        <v>2</v>
      </c>
      <c r="U56" s="157" t="s">
        <v>27</v>
      </c>
      <c r="V56" s="171">
        <f>IF(S56="","",IF(S56&gt;Q56,2,IF(S56&lt;Q56,0,1)))</f>
        <v>0</v>
      </c>
      <c r="W56" s="166"/>
      <c r="X56" s="157" t="s">
        <v>53</v>
      </c>
      <c r="Y56" s="157" t="s">
        <v>53</v>
      </c>
      <c r="AA56" s="145" t="s">
        <v>87</v>
      </c>
      <c r="AB56" s="145">
        <v>18</v>
      </c>
      <c r="AC56" s="145" t="s">
        <v>40</v>
      </c>
    </row>
    <row r="57" spans="2:29" ht="12.75">
      <c r="B57" s="159"/>
      <c r="C57" s="159"/>
      <c r="D57" s="159">
        <f t="shared" si="4"/>
        <v>33</v>
      </c>
      <c r="E57" s="159">
        <v>4</v>
      </c>
      <c r="F57" s="160" t="s">
        <v>21</v>
      </c>
      <c r="G57" s="159">
        <v>11</v>
      </c>
      <c r="H57" s="161" t="str">
        <f ca="1" t="shared" si="8"/>
        <v>TV Grohn</v>
      </c>
      <c r="I57" s="162" t="s">
        <v>28</v>
      </c>
      <c r="J57" s="160" t="s">
        <v>21</v>
      </c>
      <c r="K57" s="159">
        <v>14</v>
      </c>
      <c r="L57" s="161" t="str">
        <f ca="1" t="shared" si="5"/>
        <v>VT Contwig</v>
      </c>
      <c r="M57" s="160" t="s">
        <v>21</v>
      </c>
      <c r="N57" s="159">
        <v>13</v>
      </c>
      <c r="O57" s="161" t="str">
        <f ca="1" t="shared" si="7"/>
        <v>TV Offenburg</v>
      </c>
      <c r="P57" s="163"/>
      <c r="Q57" s="159">
        <v>41</v>
      </c>
      <c r="R57" s="162" t="s">
        <v>27</v>
      </c>
      <c r="S57" s="159">
        <v>33</v>
      </c>
      <c r="T57" s="164">
        <f>IF(Q57="","",IF(Q57&gt;S57,2,IF(Q57&lt;S57,0,1)))</f>
        <v>2</v>
      </c>
      <c r="U57" s="162" t="s">
        <v>27</v>
      </c>
      <c r="V57" s="165">
        <f>IF(S57="","",IF(S57&gt;Q57,2,IF(S57&lt;Q57,0,1)))</f>
        <v>0</v>
      </c>
      <c r="W57" s="166"/>
      <c r="X57" s="162" t="s">
        <v>53</v>
      </c>
      <c r="Y57" s="162" t="s">
        <v>53</v>
      </c>
      <c r="AA57" s="145" t="s">
        <v>87</v>
      </c>
      <c r="AB57" s="145">
        <v>18</v>
      </c>
      <c r="AC57" s="145" t="s">
        <v>40</v>
      </c>
    </row>
    <row r="58" spans="2:29" ht="12.75">
      <c r="B58" s="152">
        <f>+B54+1</f>
        <v>10</v>
      </c>
      <c r="C58" s="168">
        <f>+Daten!N13</f>
        <v>0.4965277777777777</v>
      </c>
      <c r="D58" s="152"/>
      <c r="E58" s="152">
        <v>1</v>
      </c>
      <c r="F58" s="151" t="s">
        <v>22</v>
      </c>
      <c r="G58" s="152">
        <v>2</v>
      </c>
      <c r="H58" s="153" t="str">
        <f ca="1" t="shared" si="8"/>
        <v>MTV Itzehoe</v>
      </c>
      <c r="I58" s="157" t="s">
        <v>28</v>
      </c>
      <c r="J58" s="151" t="s">
        <v>22</v>
      </c>
      <c r="K58" s="152">
        <v>5</v>
      </c>
      <c r="L58" s="153" t="str">
        <f ca="1" t="shared" si="5"/>
        <v>TSV Ludwigshafen</v>
      </c>
      <c r="M58" s="151" t="s">
        <v>22</v>
      </c>
      <c r="N58" s="152">
        <v>4</v>
      </c>
      <c r="O58" s="153" t="str">
        <f ca="1" t="shared" si="7"/>
        <v>Barmer TG</v>
      </c>
      <c r="P58" s="169"/>
      <c r="Q58" s="152">
        <v>35</v>
      </c>
      <c r="R58" s="157" t="s">
        <v>27</v>
      </c>
      <c r="S58" s="152">
        <v>39</v>
      </c>
      <c r="T58" s="170">
        <f aca="true" t="shared" si="9" ref="T58:T113">IF(Q58="","",IF(Q58&gt;S58,2,IF(Q58&lt;S58,0,1)))</f>
        <v>0</v>
      </c>
      <c r="U58" s="157" t="s">
        <v>27</v>
      </c>
      <c r="V58" s="171">
        <f aca="true" t="shared" si="10" ref="V58:V113">IF(S58="","",IF(S58&gt;Q58,2,IF(S58&lt;Q58,0,1)))</f>
        <v>2</v>
      </c>
      <c r="W58" s="166"/>
      <c r="X58" s="157" t="s">
        <v>53</v>
      </c>
      <c r="Y58" s="157" t="s">
        <v>53</v>
      </c>
      <c r="AA58" s="145" t="s">
        <v>87</v>
      </c>
      <c r="AB58" s="145">
        <v>19</v>
      </c>
      <c r="AC58" s="145" t="s">
        <v>40</v>
      </c>
    </row>
    <row r="59" spans="2:29" ht="12.75">
      <c r="B59" s="152"/>
      <c r="C59" s="152"/>
      <c r="D59" s="152">
        <f>+D57+1</f>
        <v>34</v>
      </c>
      <c r="E59" s="152">
        <v>2</v>
      </c>
      <c r="F59" s="151" t="s">
        <v>22</v>
      </c>
      <c r="G59" s="152">
        <v>12</v>
      </c>
      <c r="H59" s="153" t="str">
        <f ca="1" t="shared" si="8"/>
        <v>MTV Wohnste</v>
      </c>
      <c r="I59" s="157" t="s">
        <v>28</v>
      </c>
      <c r="J59" s="151" t="s">
        <v>22</v>
      </c>
      <c r="K59" s="152">
        <v>15</v>
      </c>
      <c r="L59" s="153" t="str">
        <f ca="1" t="shared" si="5"/>
        <v>Betzdorfer TV</v>
      </c>
      <c r="M59" s="151" t="s">
        <v>22</v>
      </c>
      <c r="N59" s="152">
        <v>14</v>
      </c>
      <c r="O59" s="153" t="str">
        <f ca="1" t="shared" si="7"/>
        <v>TG Giengen</v>
      </c>
      <c r="P59" s="169"/>
      <c r="Q59" s="152">
        <v>48</v>
      </c>
      <c r="R59" s="157" t="s">
        <v>27</v>
      </c>
      <c r="S59" s="152">
        <v>29</v>
      </c>
      <c r="T59" s="170">
        <f t="shared" si="9"/>
        <v>2</v>
      </c>
      <c r="U59" s="157" t="s">
        <v>27</v>
      </c>
      <c r="V59" s="171">
        <f t="shared" si="10"/>
        <v>0</v>
      </c>
      <c r="W59" s="166"/>
      <c r="X59" s="157" t="s">
        <v>53</v>
      </c>
      <c r="Y59" s="157" t="s">
        <v>53</v>
      </c>
      <c r="AA59" s="145" t="s">
        <v>87</v>
      </c>
      <c r="AB59" s="145">
        <v>19</v>
      </c>
      <c r="AC59" s="145" t="s">
        <v>40</v>
      </c>
    </row>
    <row r="60" spans="2:29" ht="12.75">
      <c r="B60" s="152"/>
      <c r="C60" s="152"/>
      <c r="D60" s="152">
        <f t="shared" si="4"/>
        <v>35</v>
      </c>
      <c r="E60" s="152">
        <v>3</v>
      </c>
      <c r="F60" s="158" t="s">
        <v>21</v>
      </c>
      <c r="G60" s="152">
        <v>2</v>
      </c>
      <c r="H60" s="153" t="str">
        <f ca="1" t="shared" si="8"/>
        <v>TSV Kirchdorf</v>
      </c>
      <c r="I60" s="157" t="s">
        <v>28</v>
      </c>
      <c r="J60" s="158" t="s">
        <v>21</v>
      </c>
      <c r="K60" s="152">
        <v>5</v>
      </c>
      <c r="L60" s="153" t="str">
        <f ca="1" t="shared" si="5"/>
        <v>TV Wertheim</v>
      </c>
      <c r="M60" s="158" t="s">
        <v>21</v>
      </c>
      <c r="N60" s="152">
        <v>4</v>
      </c>
      <c r="O60" s="153" t="str">
        <f ca="1" t="shared" si="7"/>
        <v>TV Berkenbaum</v>
      </c>
      <c r="P60" s="169"/>
      <c r="Q60" s="152">
        <v>32</v>
      </c>
      <c r="R60" s="157" t="s">
        <v>27</v>
      </c>
      <c r="S60" s="152">
        <v>41</v>
      </c>
      <c r="T60" s="170">
        <f t="shared" si="9"/>
        <v>0</v>
      </c>
      <c r="U60" s="157" t="s">
        <v>27</v>
      </c>
      <c r="V60" s="171">
        <f t="shared" si="10"/>
        <v>2</v>
      </c>
      <c r="W60" s="166"/>
      <c r="X60" s="157" t="s">
        <v>53</v>
      </c>
      <c r="Y60" s="157" t="s">
        <v>53</v>
      </c>
      <c r="AA60" s="145" t="s">
        <v>87</v>
      </c>
      <c r="AB60" s="145">
        <v>20</v>
      </c>
      <c r="AC60" s="145" t="s">
        <v>40</v>
      </c>
    </row>
    <row r="61" spans="2:29" ht="12.75">
      <c r="B61" s="159"/>
      <c r="C61" s="159"/>
      <c r="D61" s="159">
        <f>+D60+1</f>
        <v>36</v>
      </c>
      <c r="E61" s="159">
        <v>4</v>
      </c>
      <c r="F61" s="160" t="s">
        <v>21</v>
      </c>
      <c r="G61" s="159">
        <v>12</v>
      </c>
      <c r="H61" s="161" t="str">
        <f ca="1" t="shared" si="8"/>
        <v>SF Ricklingen</v>
      </c>
      <c r="I61" s="162" t="s">
        <v>28</v>
      </c>
      <c r="J61" s="160" t="s">
        <v>21</v>
      </c>
      <c r="K61" s="159">
        <v>15</v>
      </c>
      <c r="L61" s="161" t="str">
        <f ca="1" t="shared" si="5"/>
        <v>TV FA Altenbochum</v>
      </c>
      <c r="M61" s="160" t="s">
        <v>21</v>
      </c>
      <c r="N61" s="159">
        <v>14</v>
      </c>
      <c r="O61" s="161" t="str">
        <f ca="1" t="shared" si="7"/>
        <v>VT Contwig</v>
      </c>
      <c r="P61" s="163"/>
      <c r="Q61" s="159">
        <v>36</v>
      </c>
      <c r="R61" s="162" t="s">
        <v>27</v>
      </c>
      <c r="S61" s="159">
        <v>32</v>
      </c>
      <c r="T61" s="164">
        <f t="shared" si="9"/>
        <v>2</v>
      </c>
      <c r="U61" s="162" t="s">
        <v>27</v>
      </c>
      <c r="V61" s="165">
        <f t="shared" si="10"/>
        <v>0</v>
      </c>
      <c r="W61" s="166"/>
      <c r="X61" s="162" t="s">
        <v>53</v>
      </c>
      <c r="Y61" s="162" t="s">
        <v>53</v>
      </c>
      <c r="AA61" s="145" t="s">
        <v>87</v>
      </c>
      <c r="AB61" s="145">
        <v>20</v>
      </c>
      <c r="AC61" s="145" t="s">
        <v>40</v>
      </c>
    </row>
    <row r="62" spans="1:29" ht="12.75">
      <c r="A62" s="145" t="s">
        <v>103</v>
      </c>
      <c r="B62" s="152">
        <f>+B58+1</f>
        <v>11</v>
      </c>
      <c r="C62" s="168">
        <f>+Daten!N14</f>
        <v>0.5138888888888888</v>
      </c>
      <c r="D62" s="152">
        <f t="shared" si="4"/>
        <v>37</v>
      </c>
      <c r="E62" s="152">
        <v>1</v>
      </c>
      <c r="F62" s="151" t="s">
        <v>22</v>
      </c>
      <c r="G62" s="152">
        <v>4</v>
      </c>
      <c r="H62" s="153" t="str">
        <f ca="1">IF($S$59="","4. Gruppe J",INDIRECT(ADDRESS(MATCH(G62,$A$1:$A$19,0),MATCH(A62,$A$3:$AE$3,0))))</f>
        <v>TV Berkenbaum</v>
      </c>
      <c r="I62" s="157" t="s">
        <v>28</v>
      </c>
      <c r="J62" s="151" t="s">
        <v>22</v>
      </c>
      <c r="K62" s="152">
        <v>15</v>
      </c>
      <c r="L62" s="153" t="str">
        <f ca="1">IF($S$59="","5. Gruppe K",INDIRECT(ADDRESS(MATCH(K62,$A$1:$A$19,0),MATCH(A62,$A$3:$AE$3,0))))</f>
        <v>Betzdorfer TV</v>
      </c>
      <c r="M62" s="151" t="s">
        <v>22</v>
      </c>
      <c r="N62" s="152">
        <v>13</v>
      </c>
      <c r="O62" s="153" t="str">
        <f ca="1">IF($S$59="","3. Gruppe K",INDIRECT(ADDRESS(MATCH(N62,$A$1:$A$19,0),MATCH(A62,$A$3:$AE$3,0))))</f>
        <v>VSK Osterholz Scharmbeck</v>
      </c>
      <c r="P62" s="169"/>
      <c r="Q62" s="152">
        <v>42</v>
      </c>
      <c r="R62" s="157" t="s">
        <v>27</v>
      </c>
      <c r="S62" s="152">
        <v>41</v>
      </c>
      <c r="T62" s="170">
        <f t="shared" si="9"/>
        <v>2</v>
      </c>
      <c r="U62" s="157" t="s">
        <v>27</v>
      </c>
      <c r="V62" s="171">
        <f t="shared" si="10"/>
        <v>0</v>
      </c>
      <c r="W62" s="166"/>
      <c r="X62" s="157" t="s">
        <v>53</v>
      </c>
      <c r="Y62" s="157" t="s">
        <v>53</v>
      </c>
      <c r="AA62" s="145" t="s">
        <v>89</v>
      </c>
      <c r="AB62" s="145">
        <v>1</v>
      </c>
      <c r="AC62" s="145" t="s">
        <v>107</v>
      </c>
    </row>
    <row r="63" spans="1:29" ht="12.75">
      <c r="A63" s="145" t="s">
        <v>103</v>
      </c>
      <c r="B63" s="152"/>
      <c r="C63" s="152"/>
      <c r="D63" s="152">
        <f t="shared" si="4"/>
        <v>38</v>
      </c>
      <c r="E63" s="152">
        <v>2</v>
      </c>
      <c r="F63" s="151" t="s">
        <v>22</v>
      </c>
      <c r="G63" s="152">
        <v>14</v>
      </c>
      <c r="H63" s="153" t="str">
        <f ca="1">IF($S$59="","4. Gruppe K",INDIRECT(ADDRESS(MATCH(G63,$A$1:$A$19,0),MATCH(A63,$A$3:$AE$3,0))))</f>
        <v>MTV Wohnste</v>
      </c>
      <c r="I63" s="154" t="s">
        <v>28</v>
      </c>
      <c r="J63" s="151" t="s">
        <v>22</v>
      </c>
      <c r="K63" s="152">
        <v>5</v>
      </c>
      <c r="L63" s="153" t="str">
        <f ca="1">IF($S$59="","5. Gruppe J",INDIRECT(ADDRESS(MATCH(K63,$A$1:$A$19,0),MATCH(A63,$A$3:$AE$3,0))))</f>
        <v>VfL Oldenburg</v>
      </c>
      <c r="M63" s="151" t="s">
        <v>22</v>
      </c>
      <c r="N63" s="152">
        <v>3</v>
      </c>
      <c r="O63" s="153" t="str">
        <f ca="1">IF($S$58="","3. Gruppe J",INDIRECT(ADDRESS(MATCH(N63,$A$1:$A$19,0),MATCH(A63,$A$3:$AE$3,0))))</f>
        <v>MTV Itzehoe</v>
      </c>
      <c r="P63" s="169"/>
      <c r="Q63" s="152">
        <v>49</v>
      </c>
      <c r="R63" s="157" t="s">
        <v>27</v>
      </c>
      <c r="S63" s="152">
        <v>24</v>
      </c>
      <c r="T63" s="170">
        <f t="shared" si="9"/>
        <v>2</v>
      </c>
      <c r="U63" s="157" t="s">
        <v>27</v>
      </c>
      <c r="V63" s="171">
        <f t="shared" si="10"/>
        <v>0</v>
      </c>
      <c r="W63" s="166"/>
      <c r="X63" s="157" t="s">
        <v>53</v>
      </c>
      <c r="Y63" s="157" t="s">
        <v>53</v>
      </c>
      <c r="AA63" s="145" t="s">
        <v>89</v>
      </c>
      <c r="AB63" s="145">
        <v>1</v>
      </c>
      <c r="AC63" s="145" t="s">
        <v>107</v>
      </c>
    </row>
    <row r="64" spans="1:29" ht="12.75">
      <c r="A64" s="145" t="s">
        <v>104</v>
      </c>
      <c r="B64" s="152"/>
      <c r="C64" s="152"/>
      <c r="D64" s="152">
        <f t="shared" si="4"/>
        <v>39</v>
      </c>
      <c r="E64" s="152">
        <v>3</v>
      </c>
      <c r="F64" s="158" t="s">
        <v>21</v>
      </c>
      <c r="G64" s="145">
        <v>4</v>
      </c>
      <c r="H64" s="153" t="str">
        <f ca="1">IF($S$60="","4. Gruppe A",INDIRECT(ADDRESS(MATCH(G64,$A$1:$A$19,0),MATCH(A64,$A$3:$AE$3,0))))</f>
        <v>TSV Kirchdorf</v>
      </c>
      <c r="I64" s="154" t="s">
        <v>28</v>
      </c>
      <c r="J64" s="158" t="s">
        <v>21</v>
      </c>
      <c r="K64" s="145">
        <v>15</v>
      </c>
      <c r="L64" s="153" t="str">
        <f ca="1">IF($S$61="","5. Gruppe B",INDIRECT(ADDRESS(MATCH(K64,$A$1:$A$19,0),MATCH(A64,$A$3:$AE$3,0))))</f>
        <v>TV Offenburg</v>
      </c>
      <c r="M64" s="158" t="s">
        <v>21</v>
      </c>
      <c r="N64" s="145">
        <v>13</v>
      </c>
      <c r="O64" s="153" t="str">
        <f ca="1">IF($S$61="","3. Gruppe B",INDIRECT(ADDRESS(MATCH(N64,$A$1:$A$19,0),MATCH(A64,$A$3:$AE$3,0))))</f>
        <v>TV Grohn</v>
      </c>
      <c r="P64" s="169"/>
      <c r="Q64" s="152">
        <v>60</v>
      </c>
      <c r="R64" s="157" t="s">
        <v>27</v>
      </c>
      <c r="S64" s="152">
        <v>61</v>
      </c>
      <c r="T64" s="170">
        <f t="shared" si="9"/>
        <v>0</v>
      </c>
      <c r="U64" s="157" t="s">
        <v>27</v>
      </c>
      <c r="V64" s="171">
        <f t="shared" si="10"/>
        <v>2</v>
      </c>
      <c r="W64" s="166"/>
      <c r="X64" s="157" t="s">
        <v>53</v>
      </c>
      <c r="Y64" s="157" t="s">
        <v>53</v>
      </c>
      <c r="AA64" s="145" t="s">
        <v>89</v>
      </c>
      <c r="AB64" s="145">
        <v>2</v>
      </c>
      <c r="AC64" s="145" t="s">
        <v>107</v>
      </c>
    </row>
    <row r="65" spans="1:29" ht="12.75">
      <c r="A65" s="145" t="s">
        <v>104</v>
      </c>
      <c r="B65" s="159"/>
      <c r="C65" s="159"/>
      <c r="D65" s="159">
        <f>+D64+1</f>
        <v>40</v>
      </c>
      <c r="E65" s="159">
        <v>4</v>
      </c>
      <c r="F65" s="160" t="s">
        <v>21</v>
      </c>
      <c r="G65" s="159">
        <v>14</v>
      </c>
      <c r="H65" s="161" t="str">
        <f ca="1">IF($S$61="","4. Gruppe B",INDIRECT(ADDRESS(MATCH(G65,$A$1:$A$19,0),MATCH(A65,$A$3:$AE$3,0))))</f>
        <v>VT Contwig</v>
      </c>
      <c r="I65" s="162" t="s">
        <v>28</v>
      </c>
      <c r="J65" s="160" t="s">
        <v>21</v>
      </c>
      <c r="K65" s="159">
        <v>5</v>
      </c>
      <c r="L65" s="161" t="str">
        <f ca="1">IF($S$60="","5. Gruppe A",INDIRECT(ADDRESS(MATCH(K65,$A$1:$A$19,0),MATCH(A65,$A$3:$AE$3,0))))</f>
        <v>PV Gundernhausen</v>
      </c>
      <c r="M65" s="160" t="s">
        <v>21</v>
      </c>
      <c r="N65" s="159">
        <v>3</v>
      </c>
      <c r="O65" s="161" t="str">
        <f ca="1">IF($S$60="","3. Gruppe A",INDIRECT(ADDRESS(MATCH(N65,$A$1:$A$19,0),MATCH(A65,$A$3:$AE$3,0))))</f>
        <v>TSV Burgdorf</v>
      </c>
      <c r="P65" s="163"/>
      <c r="Q65" s="159">
        <v>40</v>
      </c>
      <c r="R65" s="162" t="s">
        <v>27</v>
      </c>
      <c r="S65" s="159">
        <v>37</v>
      </c>
      <c r="T65" s="164">
        <f t="shared" si="9"/>
        <v>2</v>
      </c>
      <c r="U65" s="162" t="s">
        <v>27</v>
      </c>
      <c r="V65" s="165">
        <f t="shared" si="10"/>
        <v>0</v>
      </c>
      <c r="W65" s="166"/>
      <c r="X65" s="162" t="s">
        <v>53</v>
      </c>
      <c r="Y65" s="162" t="s">
        <v>53</v>
      </c>
      <c r="AA65" s="145" t="s">
        <v>89</v>
      </c>
      <c r="AB65" s="145">
        <v>2</v>
      </c>
      <c r="AC65" s="145" t="s">
        <v>107</v>
      </c>
    </row>
    <row r="66" spans="1:29" ht="12.75">
      <c r="A66" s="145" t="s">
        <v>103</v>
      </c>
      <c r="B66" s="152">
        <f>+B62+1</f>
        <v>12</v>
      </c>
      <c r="C66" s="168">
        <f>+Daten!N15</f>
        <v>0.53125</v>
      </c>
      <c r="D66" s="152">
        <f t="shared" si="4"/>
        <v>41</v>
      </c>
      <c r="E66" s="152">
        <v>1</v>
      </c>
      <c r="F66" s="151" t="s">
        <v>22</v>
      </c>
      <c r="G66" s="152"/>
      <c r="H66" s="153" t="str">
        <f>IF($T$62="","Platz 9 / V. "&amp;$D$62,IF(T62=0,H62,L62))</f>
        <v>Betzdorfer TV</v>
      </c>
      <c r="I66" s="157" t="s">
        <v>28</v>
      </c>
      <c r="J66" s="151" t="s">
        <v>22</v>
      </c>
      <c r="K66" s="152"/>
      <c r="L66" s="153" t="str">
        <f>IF($T$63="","V. "&amp;$D$63,IF(T63=0,H63,L63))</f>
        <v>VfL Oldenburg</v>
      </c>
      <c r="M66" s="151" t="s">
        <v>22</v>
      </c>
      <c r="N66" s="152">
        <v>12</v>
      </c>
      <c r="O66" s="153" t="str">
        <f ca="1">IF($S$58="","2. Gruppe K",INDIRECT(ADDRESS(MATCH(N66,$A$1:$A$19,0),MATCH(A66,$A$3:$AE$3,0))))</f>
        <v>TV Wertheim</v>
      </c>
      <c r="P66" s="169"/>
      <c r="Q66" s="152">
        <v>51</v>
      </c>
      <c r="R66" s="157" t="s">
        <v>27</v>
      </c>
      <c r="S66" s="152">
        <v>39</v>
      </c>
      <c r="T66" s="170">
        <f t="shared" si="9"/>
        <v>2</v>
      </c>
      <c r="U66" s="157" t="s">
        <v>27</v>
      </c>
      <c r="V66" s="171">
        <f t="shared" si="10"/>
        <v>0</v>
      </c>
      <c r="W66" s="166"/>
      <c r="X66" s="157" t="s">
        <v>53</v>
      </c>
      <c r="Y66" s="157" t="s">
        <v>53</v>
      </c>
      <c r="AA66" s="145" t="s">
        <v>90</v>
      </c>
      <c r="AB66" s="145">
        <v>1</v>
      </c>
      <c r="AC66" s="145" t="s">
        <v>91</v>
      </c>
    </row>
    <row r="67" spans="1:29" ht="12.75">
      <c r="A67" s="145" t="s">
        <v>103</v>
      </c>
      <c r="B67" s="152"/>
      <c r="C67" s="152"/>
      <c r="D67" s="152">
        <f t="shared" si="4"/>
        <v>42</v>
      </c>
      <c r="E67" s="152">
        <v>2</v>
      </c>
      <c r="F67" s="151" t="s">
        <v>22</v>
      </c>
      <c r="G67" s="152"/>
      <c r="H67" s="153" t="str">
        <f>IF($T$62="","Platz 7 / S. "&amp;$D$62,IF(T62=2,H62,L62))</f>
        <v>TV Berkenbaum</v>
      </c>
      <c r="I67" s="154" t="s">
        <v>28</v>
      </c>
      <c r="J67" s="151" t="s">
        <v>22</v>
      </c>
      <c r="K67" s="152"/>
      <c r="L67" s="153" t="str">
        <f>IF($T$63="","S. "&amp;$D$63,IF(T63=2,H63,L63))</f>
        <v>MTV Wohnste</v>
      </c>
      <c r="M67" s="151" t="s">
        <v>22</v>
      </c>
      <c r="N67" s="152">
        <v>2</v>
      </c>
      <c r="O67" s="153" t="str">
        <f ca="1">IF($S$59="","2. Gruppe J",INDIRECT(ADDRESS(MATCH(N67,$A$1:$A$19,0),MATCH(A67,$A$3:$AE$3,0))))</f>
        <v>TSV Ludwigshafen</v>
      </c>
      <c r="P67" s="169"/>
      <c r="Q67" s="152">
        <v>28</v>
      </c>
      <c r="R67" s="157" t="s">
        <v>27</v>
      </c>
      <c r="S67" s="152">
        <v>41</v>
      </c>
      <c r="T67" s="170">
        <f t="shared" si="9"/>
        <v>0</v>
      </c>
      <c r="U67" s="157" t="s">
        <v>27</v>
      </c>
      <c r="V67" s="171">
        <f t="shared" si="10"/>
        <v>2</v>
      </c>
      <c r="W67" s="166"/>
      <c r="X67" s="157" t="s">
        <v>53</v>
      </c>
      <c r="Y67" s="157" t="s">
        <v>53</v>
      </c>
      <c r="AA67" s="145" t="s">
        <v>90</v>
      </c>
      <c r="AB67" s="145">
        <v>1</v>
      </c>
      <c r="AC67" s="145" t="s">
        <v>92</v>
      </c>
    </row>
    <row r="68" spans="1:29" ht="12.75">
      <c r="A68" s="145" t="s">
        <v>104</v>
      </c>
      <c r="B68" s="152"/>
      <c r="C68" s="152"/>
      <c r="D68" s="152">
        <f t="shared" si="4"/>
        <v>43</v>
      </c>
      <c r="E68" s="152">
        <v>3</v>
      </c>
      <c r="F68" s="158" t="s">
        <v>21</v>
      </c>
      <c r="G68" s="152"/>
      <c r="H68" s="153" t="str">
        <f>IF(T64="","Platz 9 / V. "&amp;D64,IF(T64=0,H64,L64))</f>
        <v>TSV Kirchdorf</v>
      </c>
      <c r="I68" s="154" t="s">
        <v>28</v>
      </c>
      <c r="J68" s="158" t="s">
        <v>21</v>
      </c>
      <c r="K68" s="152"/>
      <c r="L68" s="153" t="str">
        <f>IF(T65="","V. "&amp;D65,IF(T65=0,H65,L65))</f>
        <v>PV Gundernhausen</v>
      </c>
      <c r="M68" s="158" t="s">
        <v>21</v>
      </c>
      <c r="N68" s="152">
        <v>12</v>
      </c>
      <c r="O68" s="153" t="str">
        <f ca="1">IF($S$61="","2. Gruppe B",INDIRECT(ADDRESS(MATCH(N68,$A$1:$A$19,0),MATCH(A68,$A$3:$AE$3,0))))</f>
        <v>TV FA Altenbochum</v>
      </c>
      <c r="P68" s="169"/>
      <c r="Q68" s="152">
        <v>38</v>
      </c>
      <c r="R68" s="157" t="s">
        <v>27</v>
      </c>
      <c r="S68" s="152">
        <v>45</v>
      </c>
      <c r="T68" s="170">
        <f t="shared" si="9"/>
        <v>0</v>
      </c>
      <c r="U68" s="157" t="s">
        <v>27</v>
      </c>
      <c r="V68" s="171">
        <f t="shared" si="10"/>
        <v>2</v>
      </c>
      <c r="W68" s="166"/>
      <c r="X68" s="157" t="s">
        <v>53</v>
      </c>
      <c r="Y68" s="157" t="s">
        <v>53</v>
      </c>
      <c r="AA68" s="145" t="s">
        <v>90</v>
      </c>
      <c r="AB68" s="145">
        <v>2</v>
      </c>
      <c r="AC68" s="145" t="s">
        <v>91</v>
      </c>
    </row>
    <row r="69" spans="1:29" ht="12.75">
      <c r="A69" s="145" t="s">
        <v>104</v>
      </c>
      <c r="B69" s="159"/>
      <c r="C69" s="159"/>
      <c r="D69" s="159">
        <f>+D68+1</f>
        <v>44</v>
      </c>
      <c r="E69" s="159">
        <v>4</v>
      </c>
      <c r="F69" s="160" t="s">
        <v>21</v>
      </c>
      <c r="G69" s="159"/>
      <c r="H69" s="161" t="str">
        <f>IF(T64="","Platz 7 / S. "&amp;D64,IF(T64=2,H64,L64))</f>
        <v>TV Offenburg</v>
      </c>
      <c r="I69" s="162" t="s">
        <v>28</v>
      </c>
      <c r="J69" s="160" t="s">
        <v>21</v>
      </c>
      <c r="K69" s="159"/>
      <c r="L69" s="161" t="str">
        <f>IF($T$65="","S. "&amp;$D$65,IF(T65=2,H65,L65))</f>
        <v>VT Contwig</v>
      </c>
      <c r="M69" s="160" t="s">
        <v>21</v>
      </c>
      <c r="N69" s="159">
        <v>2</v>
      </c>
      <c r="O69" s="161" t="str">
        <f ca="1">IF($S$60="","2. Gruppe A",INDIRECT(ADDRESS(MATCH(N69,$A$1:$A$19,0),MATCH(A69,$A$3:$AE$3,0))))</f>
        <v>TV Wertheim</v>
      </c>
      <c r="P69" s="163"/>
      <c r="Q69" s="159">
        <v>34</v>
      </c>
      <c r="R69" s="162" t="s">
        <v>27</v>
      </c>
      <c r="S69" s="159">
        <v>40</v>
      </c>
      <c r="T69" s="164">
        <f t="shared" si="9"/>
        <v>0</v>
      </c>
      <c r="U69" s="162" t="s">
        <v>27</v>
      </c>
      <c r="V69" s="165">
        <f t="shared" si="10"/>
        <v>2</v>
      </c>
      <c r="W69" s="166"/>
      <c r="X69" s="162" t="s">
        <v>53</v>
      </c>
      <c r="Y69" s="162" t="s">
        <v>53</v>
      </c>
      <c r="AA69" s="145" t="s">
        <v>90</v>
      </c>
      <c r="AB69" s="145">
        <v>2</v>
      </c>
      <c r="AC69" s="145" t="s">
        <v>92</v>
      </c>
    </row>
    <row r="70" spans="2:29" ht="12.75">
      <c r="B70" s="152">
        <f>+B66+1</f>
        <v>13</v>
      </c>
      <c r="C70" s="168">
        <f>+Daten!N16</f>
        <v>0.5625</v>
      </c>
      <c r="D70" s="152">
        <f t="shared" si="4"/>
        <v>45</v>
      </c>
      <c r="E70" s="152">
        <v>1</v>
      </c>
      <c r="F70" s="151" t="s">
        <v>20</v>
      </c>
      <c r="G70" s="152">
        <v>1</v>
      </c>
      <c r="H70" s="153" t="str">
        <f ca="1" t="shared" si="11" ref="H70:H96">INDIRECT(ADDRESS(MATCH(G70,$A$1:$A$19,0),MATCH(F70,$A$3:$AE$3,0)))</f>
        <v>VfK 1901 Berlin</v>
      </c>
      <c r="I70" s="154" t="s">
        <v>28</v>
      </c>
      <c r="J70" s="151" t="s">
        <v>20</v>
      </c>
      <c r="K70" s="152">
        <v>2</v>
      </c>
      <c r="L70" s="153" t="str">
        <f ca="1" t="shared" si="12" ref="L70:L109">INDIRECT(ADDRESS(MATCH(K70,$A$1:$A$19,0),MATCH(J70,$A$3:$AE$3,0)))</f>
        <v>MTV Eiche Schönebeck</v>
      </c>
      <c r="M70" s="151" t="s">
        <v>20</v>
      </c>
      <c r="N70" s="152">
        <v>3</v>
      </c>
      <c r="O70" s="153" t="str">
        <f ca="1" t="shared" si="13" ref="O70:O109">INDIRECT(ADDRESS(MATCH(N70,$A$1:$A$19,0),MATCH(M70,$A$3:$AE$3,0)))</f>
        <v>3. West</v>
      </c>
      <c r="P70" s="147"/>
      <c r="Q70" s="145">
        <v>33</v>
      </c>
      <c r="R70" s="154" t="s">
        <v>27</v>
      </c>
      <c r="S70" s="145">
        <v>46</v>
      </c>
      <c r="T70" s="155">
        <f t="shared" si="9"/>
        <v>0</v>
      </c>
      <c r="U70" s="154" t="s">
        <v>27</v>
      </c>
      <c r="V70" s="156">
        <f t="shared" si="10"/>
        <v>2</v>
      </c>
      <c r="W70" s="145"/>
      <c r="X70" s="154" t="s">
        <v>53</v>
      </c>
      <c r="Y70" s="154" t="s">
        <v>53</v>
      </c>
      <c r="AA70" s="145" t="s">
        <v>88</v>
      </c>
      <c r="AB70" s="145">
        <v>1</v>
      </c>
      <c r="AC70" s="145" t="s">
        <v>40</v>
      </c>
    </row>
    <row r="71" spans="2:29" ht="12.75">
      <c r="B71" s="152"/>
      <c r="C71" s="152"/>
      <c r="D71" s="152">
        <f t="shared" si="4"/>
        <v>46</v>
      </c>
      <c r="E71" s="152">
        <v>2</v>
      </c>
      <c r="F71" s="151" t="s">
        <v>20</v>
      </c>
      <c r="G71" s="152">
        <v>11</v>
      </c>
      <c r="H71" s="153" t="str">
        <f ca="1" t="shared" si="11"/>
        <v>TV Grohn</v>
      </c>
      <c r="I71" s="157" t="s">
        <v>28</v>
      </c>
      <c r="J71" s="151" t="s">
        <v>20</v>
      </c>
      <c r="K71" s="152">
        <v>12</v>
      </c>
      <c r="L71" s="153" t="str">
        <f ca="1" t="shared" si="12"/>
        <v>VfL Hannover</v>
      </c>
      <c r="M71" s="151" t="s">
        <v>20</v>
      </c>
      <c r="N71" s="152">
        <v>13</v>
      </c>
      <c r="O71" s="153" t="str">
        <f ca="1" t="shared" si="13"/>
        <v>TV Baden</v>
      </c>
      <c r="P71" s="147"/>
      <c r="Q71" s="145">
        <v>36</v>
      </c>
      <c r="R71" s="154" t="s">
        <v>27</v>
      </c>
      <c r="S71" s="145">
        <v>41</v>
      </c>
      <c r="T71" s="155">
        <f t="shared" si="9"/>
        <v>0</v>
      </c>
      <c r="U71" s="154" t="s">
        <v>27</v>
      </c>
      <c r="V71" s="156">
        <f t="shared" si="10"/>
        <v>2</v>
      </c>
      <c r="W71" s="145"/>
      <c r="X71" s="154" t="s">
        <v>53</v>
      </c>
      <c r="Y71" s="154" t="s">
        <v>53</v>
      </c>
      <c r="AA71" s="145" t="s">
        <v>88</v>
      </c>
      <c r="AB71" s="145">
        <v>1</v>
      </c>
      <c r="AC71" s="145" t="s">
        <v>40</v>
      </c>
    </row>
    <row r="72" spans="2:29" ht="12.75">
      <c r="B72" s="152"/>
      <c r="C72" s="152"/>
      <c r="D72" s="152">
        <f t="shared" si="4"/>
        <v>47</v>
      </c>
      <c r="E72" s="152">
        <v>3</v>
      </c>
      <c r="F72" s="158" t="s">
        <v>19</v>
      </c>
      <c r="G72" s="145">
        <v>1</v>
      </c>
      <c r="H72" s="153" t="str">
        <f ca="1" t="shared" si="11"/>
        <v>TV Kleefeld</v>
      </c>
      <c r="I72" s="154" t="s">
        <v>28</v>
      </c>
      <c r="J72" s="158" t="s">
        <v>19</v>
      </c>
      <c r="K72" s="145">
        <v>2</v>
      </c>
      <c r="L72" s="153" t="str">
        <f ca="1" t="shared" si="12"/>
        <v>SV Werder Bremen</v>
      </c>
      <c r="M72" s="158" t="s">
        <v>19</v>
      </c>
      <c r="N72" s="145">
        <v>3</v>
      </c>
      <c r="O72" s="153" t="str">
        <f ca="1" t="shared" si="13"/>
        <v>TB Hückeswagen</v>
      </c>
      <c r="P72" s="147"/>
      <c r="Q72" s="145">
        <v>32</v>
      </c>
      <c r="R72" s="154" t="s">
        <v>27</v>
      </c>
      <c r="S72" s="145">
        <v>45</v>
      </c>
      <c r="T72" s="155">
        <f t="shared" si="9"/>
        <v>0</v>
      </c>
      <c r="U72" s="154" t="s">
        <v>27</v>
      </c>
      <c r="V72" s="156">
        <f t="shared" si="10"/>
        <v>2</v>
      </c>
      <c r="W72" s="145"/>
      <c r="X72" s="154" t="s">
        <v>53</v>
      </c>
      <c r="Y72" s="154" t="s">
        <v>53</v>
      </c>
      <c r="AA72" s="145" t="s">
        <v>88</v>
      </c>
      <c r="AB72" s="145">
        <v>2</v>
      </c>
      <c r="AC72" s="145" t="s">
        <v>40</v>
      </c>
    </row>
    <row r="73" spans="2:29" ht="12.75">
      <c r="B73" s="159"/>
      <c r="C73" s="159"/>
      <c r="D73" s="159">
        <f aca="true" t="shared" si="14" ref="D73:D106">+D72+1</f>
        <v>48</v>
      </c>
      <c r="E73" s="159">
        <v>4</v>
      </c>
      <c r="F73" s="160" t="s">
        <v>19</v>
      </c>
      <c r="G73" s="159">
        <v>11</v>
      </c>
      <c r="H73" s="161" t="str">
        <f ca="1" t="shared" si="11"/>
        <v>SSC Dodesheide</v>
      </c>
      <c r="I73" s="162" t="s">
        <v>28</v>
      </c>
      <c r="J73" s="160" t="s">
        <v>19</v>
      </c>
      <c r="K73" s="159">
        <v>12</v>
      </c>
      <c r="L73" s="161" t="str">
        <f ca="1" t="shared" si="12"/>
        <v>VfK 1901 Berlin</v>
      </c>
      <c r="M73" s="160" t="s">
        <v>19</v>
      </c>
      <c r="N73" s="159">
        <v>13</v>
      </c>
      <c r="O73" s="161" t="str">
        <f ca="1" t="shared" si="13"/>
        <v>SV Weiler</v>
      </c>
      <c r="P73" s="163"/>
      <c r="Q73" s="159">
        <v>37</v>
      </c>
      <c r="R73" s="162" t="s">
        <v>27</v>
      </c>
      <c r="S73" s="159">
        <v>38</v>
      </c>
      <c r="T73" s="164">
        <f t="shared" si="9"/>
        <v>0</v>
      </c>
      <c r="U73" s="162" t="s">
        <v>27</v>
      </c>
      <c r="V73" s="165">
        <f t="shared" si="10"/>
        <v>2</v>
      </c>
      <c r="W73" s="152"/>
      <c r="X73" s="162" t="s">
        <v>53</v>
      </c>
      <c r="Y73" s="162" t="s">
        <v>53</v>
      </c>
      <c r="AA73" s="145" t="s">
        <v>88</v>
      </c>
      <c r="AB73" s="145">
        <v>2</v>
      </c>
      <c r="AC73" s="145" t="s">
        <v>40</v>
      </c>
    </row>
    <row r="74" spans="2:29" ht="12.75">
      <c r="B74" s="152">
        <f>+B70+1</f>
        <v>14</v>
      </c>
      <c r="C74" s="168">
        <f>+Daten!N17</f>
        <v>0.5798611111111112</v>
      </c>
      <c r="D74" s="152">
        <f t="shared" si="14"/>
        <v>49</v>
      </c>
      <c r="E74" s="152">
        <v>1</v>
      </c>
      <c r="F74" s="151" t="s">
        <v>20</v>
      </c>
      <c r="G74" s="152">
        <v>3</v>
      </c>
      <c r="H74" s="153" t="str">
        <f ca="1" t="shared" si="11"/>
        <v>3. West</v>
      </c>
      <c r="I74" s="154" t="s">
        <v>28</v>
      </c>
      <c r="J74" s="151" t="s">
        <v>20</v>
      </c>
      <c r="K74" s="152">
        <v>4</v>
      </c>
      <c r="L74" s="153" t="str">
        <f ca="1" t="shared" si="12"/>
        <v>TSV Radevormwald</v>
      </c>
      <c r="M74" s="151" t="s">
        <v>20</v>
      </c>
      <c r="N74" s="152">
        <v>5</v>
      </c>
      <c r="O74" s="153" t="str">
        <f ca="1" t="shared" si="13"/>
        <v>TV Edingen</v>
      </c>
      <c r="P74" s="147"/>
      <c r="Q74" s="145"/>
      <c r="R74" s="154" t="s">
        <v>27</v>
      </c>
      <c r="S74" s="145"/>
      <c r="T74" s="155">
        <f t="shared" si="9"/>
      </c>
      <c r="U74" s="154" t="s">
        <v>27</v>
      </c>
      <c r="V74" s="156">
        <f t="shared" si="10"/>
      </c>
      <c r="X74" s="154" t="s">
        <v>53</v>
      </c>
      <c r="Y74" s="154" t="s">
        <v>53</v>
      </c>
      <c r="AA74" s="145" t="s">
        <v>88</v>
      </c>
      <c r="AB74" s="145">
        <v>3</v>
      </c>
      <c r="AC74" s="145" t="s">
        <v>40</v>
      </c>
    </row>
    <row r="75" spans="2:29" ht="12.75">
      <c r="B75" s="152"/>
      <c r="C75" s="152"/>
      <c r="D75" s="152">
        <f t="shared" si="14"/>
        <v>50</v>
      </c>
      <c r="E75" s="152">
        <v>2</v>
      </c>
      <c r="F75" s="151" t="s">
        <v>20</v>
      </c>
      <c r="G75" s="152">
        <v>13</v>
      </c>
      <c r="H75" s="153" t="str">
        <f ca="1" t="shared" si="11"/>
        <v>TV Baden</v>
      </c>
      <c r="I75" s="157" t="s">
        <v>28</v>
      </c>
      <c r="J75" s="151" t="s">
        <v>20</v>
      </c>
      <c r="K75" s="152">
        <v>14</v>
      </c>
      <c r="L75" s="153" t="str">
        <f ca="1" t="shared" si="12"/>
        <v>TV Oberschopfheim</v>
      </c>
      <c r="M75" s="151" t="s">
        <v>20</v>
      </c>
      <c r="N75" s="152">
        <v>15</v>
      </c>
      <c r="O75" s="153" t="str">
        <f ca="1" t="shared" si="13"/>
        <v>SKG Ober Ramstadt</v>
      </c>
      <c r="P75" s="147"/>
      <c r="Q75" s="145">
        <v>39</v>
      </c>
      <c r="R75" s="154" t="s">
        <v>27</v>
      </c>
      <c r="S75" s="145">
        <v>39</v>
      </c>
      <c r="T75" s="155">
        <f t="shared" si="9"/>
        <v>1</v>
      </c>
      <c r="U75" s="154" t="s">
        <v>27</v>
      </c>
      <c r="V75" s="156">
        <f t="shared" si="10"/>
        <v>1</v>
      </c>
      <c r="X75" s="154" t="s">
        <v>53</v>
      </c>
      <c r="Y75" s="154" t="s">
        <v>53</v>
      </c>
      <c r="AA75" s="145" t="s">
        <v>88</v>
      </c>
      <c r="AB75" s="145">
        <v>3</v>
      </c>
      <c r="AC75" s="145" t="s">
        <v>40</v>
      </c>
    </row>
    <row r="76" spans="2:29" ht="12.75">
      <c r="B76" s="152"/>
      <c r="C76" s="152"/>
      <c r="D76" s="152">
        <f t="shared" si="14"/>
        <v>51</v>
      </c>
      <c r="E76" s="152">
        <v>3</v>
      </c>
      <c r="F76" s="158" t="s">
        <v>19</v>
      </c>
      <c r="G76" s="145">
        <v>3</v>
      </c>
      <c r="H76" s="153" t="str">
        <f ca="1" t="shared" si="11"/>
        <v>TB Hückeswagen</v>
      </c>
      <c r="I76" s="154" t="s">
        <v>28</v>
      </c>
      <c r="J76" s="158" t="s">
        <v>19</v>
      </c>
      <c r="K76" s="145">
        <v>4</v>
      </c>
      <c r="L76" s="153" t="str">
        <f ca="1" t="shared" si="12"/>
        <v>TV Kierdorf</v>
      </c>
      <c r="M76" s="158" t="s">
        <v>19</v>
      </c>
      <c r="N76" s="145">
        <v>5</v>
      </c>
      <c r="O76" s="153" t="str">
        <f ca="1" t="shared" si="13"/>
        <v>TSV Krumbach</v>
      </c>
      <c r="P76" s="147"/>
      <c r="Q76" s="145">
        <v>25</v>
      </c>
      <c r="R76" s="154" t="s">
        <v>27</v>
      </c>
      <c r="S76" s="145">
        <v>39</v>
      </c>
      <c r="T76" s="155">
        <f t="shared" si="9"/>
        <v>0</v>
      </c>
      <c r="U76" s="154" t="s">
        <v>27</v>
      </c>
      <c r="V76" s="156">
        <f t="shared" si="10"/>
        <v>2</v>
      </c>
      <c r="X76" s="154" t="s">
        <v>53</v>
      </c>
      <c r="Y76" s="154" t="s">
        <v>53</v>
      </c>
      <c r="AA76" s="145" t="s">
        <v>88</v>
      </c>
      <c r="AB76" s="145">
        <v>4</v>
      </c>
      <c r="AC76" s="145" t="s">
        <v>40</v>
      </c>
    </row>
    <row r="77" spans="2:29" ht="12.75">
      <c r="B77" s="159"/>
      <c r="C77" s="159"/>
      <c r="D77" s="159">
        <f t="shared" si="14"/>
        <v>52</v>
      </c>
      <c r="E77" s="159">
        <v>4</v>
      </c>
      <c r="F77" s="160" t="s">
        <v>19</v>
      </c>
      <c r="G77" s="159">
        <v>13</v>
      </c>
      <c r="H77" s="161" t="str">
        <f ca="1" t="shared" si="11"/>
        <v>SV Weiler</v>
      </c>
      <c r="I77" s="162" t="s">
        <v>28</v>
      </c>
      <c r="J77" s="160" t="s">
        <v>19</v>
      </c>
      <c r="K77" s="159">
        <v>14</v>
      </c>
      <c r="L77" s="161" t="str">
        <f ca="1" t="shared" si="12"/>
        <v>SV Prag Stuttgart</v>
      </c>
      <c r="M77" s="160" t="s">
        <v>19</v>
      </c>
      <c r="N77" s="159">
        <v>15</v>
      </c>
      <c r="O77" s="161" t="str">
        <f ca="1" t="shared" si="13"/>
        <v>SKG Ober Ramstadt</v>
      </c>
      <c r="P77" s="163"/>
      <c r="Q77" s="159">
        <v>37</v>
      </c>
      <c r="R77" s="162" t="s">
        <v>27</v>
      </c>
      <c r="S77" s="159">
        <v>37</v>
      </c>
      <c r="T77" s="164">
        <f t="shared" si="9"/>
        <v>1</v>
      </c>
      <c r="U77" s="162" t="s">
        <v>27</v>
      </c>
      <c r="V77" s="165">
        <f t="shared" si="10"/>
        <v>1</v>
      </c>
      <c r="W77" s="166"/>
      <c r="X77" s="162" t="s">
        <v>53</v>
      </c>
      <c r="Y77" s="162" t="s">
        <v>53</v>
      </c>
      <c r="AA77" s="145" t="s">
        <v>88</v>
      </c>
      <c r="AB77" s="145">
        <v>4</v>
      </c>
      <c r="AC77" s="145" t="s">
        <v>40</v>
      </c>
    </row>
    <row r="78" spans="2:29" ht="12.75">
      <c r="B78" s="152">
        <f>+B74+1</f>
        <v>15</v>
      </c>
      <c r="C78" s="168">
        <f>+Daten!N18</f>
        <v>0.5972222222222223</v>
      </c>
      <c r="D78" s="152">
        <f t="shared" si="14"/>
        <v>53</v>
      </c>
      <c r="E78" s="152">
        <v>1</v>
      </c>
      <c r="F78" s="151" t="s">
        <v>20</v>
      </c>
      <c r="G78" s="152">
        <v>1</v>
      </c>
      <c r="H78" s="153" t="str">
        <f ca="1" t="shared" si="11"/>
        <v>VfK 1901 Berlin</v>
      </c>
      <c r="I78" s="154" t="s">
        <v>28</v>
      </c>
      <c r="J78" s="151" t="s">
        <v>20</v>
      </c>
      <c r="K78" s="152">
        <v>5</v>
      </c>
      <c r="L78" s="153" t="str">
        <f ca="1" t="shared" si="12"/>
        <v>TV Edingen</v>
      </c>
      <c r="M78" s="151" t="s">
        <v>20</v>
      </c>
      <c r="N78" s="152">
        <v>2</v>
      </c>
      <c r="O78" s="153" t="str">
        <f ca="1" t="shared" si="13"/>
        <v>MTV Eiche Schönebeck</v>
      </c>
      <c r="P78" s="147"/>
      <c r="Q78" s="145">
        <v>35</v>
      </c>
      <c r="R78" s="154" t="s">
        <v>27</v>
      </c>
      <c r="S78" s="145">
        <v>45</v>
      </c>
      <c r="T78" s="155">
        <f t="shared" si="9"/>
        <v>0</v>
      </c>
      <c r="U78" s="154" t="s">
        <v>27</v>
      </c>
      <c r="V78" s="156">
        <f t="shared" si="10"/>
        <v>2</v>
      </c>
      <c r="X78" s="154" t="s">
        <v>53</v>
      </c>
      <c r="Y78" s="154" t="s">
        <v>53</v>
      </c>
      <c r="AA78" s="145" t="s">
        <v>88</v>
      </c>
      <c r="AB78" s="145">
        <v>5</v>
      </c>
      <c r="AC78" s="145" t="s">
        <v>40</v>
      </c>
    </row>
    <row r="79" spans="2:29" ht="12.75">
      <c r="B79" s="152"/>
      <c r="C79" s="152"/>
      <c r="D79" s="152">
        <f t="shared" si="14"/>
        <v>54</v>
      </c>
      <c r="E79" s="152">
        <v>2</v>
      </c>
      <c r="F79" s="151" t="s">
        <v>20</v>
      </c>
      <c r="G79" s="152">
        <v>11</v>
      </c>
      <c r="H79" s="153" t="str">
        <f ca="1" t="shared" si="11"/>
        <v>TV Grohn</v>
      </c>
      <c r="I79" s="157" t="s">
        <v>28</v>
      </c>
      <c r="J79" s="151" t="s">
        <v>20</v>
      </c>
      <c r="K79" s="152">
        <v>15</v>
      </c>
      <c r="L79" s="153" t="str">
        <f ca="1" t="shared" si="12"/>
        <v>SKG Ober Ramstadt</v>
      </c>
      <c r="M79" s="151" t="s">
        <v>20</v>
      </c>
      <c r="N79" s="152">
        <v>12</v>
      </c>
      <c r="O79" s="153" t="str">
        <f ca="1" t="shared" si="13"/>
        <v>VfL Hannover</v>
      </c>
      <c r="P79" s="147"/>
      <c r="Q79" s="145">
        <v>36</v>
      </c>
      <c r="R79" s="154" t="s">
        <v>27</v>
      </c>
      <c r="S79" s="145">
        <v>46</v>
      </c>
      <c r="T79" s="155">
        <f t="shared" si="9"/>
        <v>0</v>
      </c>
      <c r="U79" s="154" t="s">
        <v>27</v>
      </c>
      <c r="V79" s="156">
        <f t="shared" si="10"/>
        <v>2</v>
      </c>
      <c r="X79" s="154" t="s">
        <v>53</v>
      </c>
      <c r="Y79" s="154" t="s">
        <v>53</v>
      </c>
      <c r="AA79" s="145" t="s">
        <v>88</v>
      </c>
      <c r="AB79" s="145">
        <v>5</v>
      </c>
      <c r="AC79" s="145" t="s">
        <v>40</v>
      </c>
    </row>
    <row r="80" spans="2:29" ht="12.75">
      <c r="B80" s="152"/>
      <c r="C80" s="152"/>
      <c r="D80" s="152">
        <f t="shared" si="14"/>
        <v>55</v>
      </c>
      <c r="E80" s="152">
        <v>3</v>
      </c>
      <c r="F80" s="158" t="s">
        <v>19</v>
      </c>
      <c r="G80" s="145">
        <v>1</v>
      </c>
      <c r="H80" s="153" t="str">
        <f ca="1" t="shared" si="11"/>
        <v>TV Kleefeld</v>
      </c>
      <c r="I80" s="154" t="s">
        <v>28</v>
      </c>
      <c r="J80" s="158" t="s">
        <v>19</v>
      </c>
      <c r="K80" s="145">
        <v>5</v>
      </c>
      <c r="L80" s="153" t="str">
        <f ca="1" t="shared" si="12"/>
        <v>TSV Krumbach</v>
      </c>
      <c r="M80" s="158" t="s">
        <v>19</v>
      </c>
      <c r="N80" s="145">
        <v>2</v>
      </c>
      <c r="O80" s="153" t="str">
        <f ca="1" t="shared" si="13"/>
        <v>SV Werder Bremen</v>
      </c>
      <c r="P80" s="147"/>
      <c r="Q80" s="145">
        <v>35</v>
      </c>
      <c r="R80" s="154" t="s">
        <v>27</v>
      </c>
      <c r="S80" s="145">
        <v>42</v>
      </c>
      <c r="T80" s="155">
        <f t="shared" si="9"/>
        <v>0</v>
      </c>
      <c r="U80" s="154" t="s">
        <v>27</v>
      </c>
      <c r="V80" s="156">
        <f t="shared" si="10"/>
        <v>2</v>
      </c>
      <c r="X80" s="154" t="s">
        <v>53</v>
      </c>
      <c r="Y80" s="154" t="s">
        <v>53</v>
      </c>
      <c r="AA80" s="145" t="s">
        <v>88</v>
      </c>
      <c r="AB80" s="145">
        <v>6</v>
      </c>
      <c r="AC80" s="145" t="s">
        <v>40</v>
      </c>
    </row>
    <row r="81" spans="2:29" ht="12.75">
      <c r="B81" s="159"/>
      <c r="C81" s="159"/>
      <c r="D81" s="159">
        <f t="shared" si="14"/>
        <v>56</v>
      </c>
      <c r="E81" s="159">
        <v>4</v>
      </c>
      <c r="F81" s="160" t="s">
        <v>19</v>
      </c>
      <c r="G81" s="159">
        <v>11</v>
      </c>
      <c r="H81" s="161" t="str">
        <f ca="1" t="shared" si="11"/>
        <v>SSC Dodesheide</v>
      </c>
      <c r="I81" s="162" t="s">
        <v>28</v>
      </c>
      <c r="J81" s="160" t="s">
        <v>19</v>
      </c>
      <c r="K81" s="159">
        <v>15</v>
      </c>
      <c r="L81" s="161" t="str">
        <f ca="1" t="shared" si="12"/>
        <v>SKG Ober Ramstadt</v>
      </c>
      <c r="M81" s="160" t="s">
        <v>19</v>
      </c>
      <c r="N81" s="159">
        <v>12</v>
      </c>
      <c r="O81" s="161" t="str">
        <f ca="1" t="shared" si="13"/>
        <v>VfK 1901 Berlin</v>
      </c>
      <c r="P81" s="163"/>
      <c r="Q81" s="159">
        <v>46</v>
      </c>
      <c r="R81" s="162" t="s">
        <v>27</v>
      </c>
      <c r="S81" s="159">
        <v>30</v>
      </c>
      <c r="T81" s="164">
        <f t="shared" si="9"/>
        <v>2</v>
      </c>
      <c r="U81" s="162" t="s">
        <v>27</v>
      </c>
      <c r="V81" s="165">
        <f t="shared" si="10"/>
        <v>0</v>
      </c>
      <c r="W81" s="166"/>
      <c r="X81" s="167" t="s">
        <v>53</v>
      </c>
      <c r="Y81" s="167" t="s">
        <v>53</v>
      </c>
      <c r="AA81" s="145" t="s">
        <v>88</v>
      </c>
      <c r="AB81" s="145">
        <v>6</v>
      </c>
      <c r="AC81" s="145" t="s">
        <v>40</v>
      </c>
    </row>
    <row r="82" spans="2:29" ht="12.75">
      <c r="B82" s="152">
        <f>+B78+1</f>
        <v>16</v>
      </c>
      <c r="C82" s="168">
        <f>+Daten!N19</f>
        <v>0.6180555555555557</v>
      </c>
      <c r="D82" s="152">
        <f t="shared" si="14"/>
        <v>57</v>
      </c>
      <c r="E82" s="152">
        <v>1</v>
      </c>
      <c r="F82" s="151" t="s">
        <v>20</v>
      </c>
      <c r="G82" s="152">
        <v>2</v>
      </c>
      <c r="H82" s="153" t="str">
        <f ca="1" t="shared" si="11"/>
        <v>MTV Eiche Schönebeck</v>
      </c>
      <c r="I82" s="157" t="s">
        <v>28</v>
      </c>
      <c r="J82" s="151" t="s">
        <v>20</v>
      </c>
      <c r="K82" s="152">
        <v>3</v>
      </c>
      <c r="L82" s="153" t="str">
        <f ca="1" t="shared" si="12"/>
        <v>3. West</v>
      </c>
      <c r="M82" s="151" t="s">
        <v>20</v>
      </c>
      <c r="N82" s="152">
        <v>4</v>
      </c>
      <c r="O82" s="153" t="str">
        <f ca="1" t="shared" si="13"/>
        <v>TSV Radevormwald</v>
      </c>
      <c r="P82" s="147"/>
      <c r="Q82" s="145"/>
      <c r="R82" s="154" t="s">
        <v>27</v>
      </c>
      <c r="S82" s="145"/>
      <c r="T82" s="155">
        <f t="shared" si="9"/>
      </c>
      <c r="U82" s="154" t="s">
        <v>27</v>
      </c>
      <c r="V82" s="156">
        <f t="shared" si="10"/>
      </c>
      <c r="X82" s="154" t="s">
        <v>53</v>
      </c>
      <c r="Y82" s="154" t="s">
        <v>53</v>
      </c>
      <c r="AA82" s="145" t="s">
        <v>88</v>
      </c>
      <c r="AB82" s="145">
        <v>7</v>
      </c>
      <c r="AC82" s="145" t="s">
        <v>40</v>
      </c>
    </row>
    <row r="83" spans="2:29" ht="12.75">
      <c r="B83" s="152"/>
      <c r="C83" s="152"/>
      <c r="D83" s="152">
        <f t="shared" si="14"/>
        <v>58</v>
      </c>
      <c r="E83" s="152">
        <v>2</v>
      </c>
      <c r="F83" s="151" t="s">
        <v>20</v>
      </c>
      <c r="G83" s="152">
        <v>12</v>
      </c>
      <c r="H83" s="153" t="str">
        <f ca="1" t="shared" si="11"/>
        <v>VfL Hannover</v>
      </c>
      <c r="I83" s="157" t="s">
        <v>28</v>
      </c>
      <c r="J83" s="151" t="s">
        <v>20</v>
      </c>
      <c r="K83" s="152">
        <v>13</v>
      </c>
      <c r="L83" s="153" t="str">
        <f ca="1" t="shared" si="12"/>
        <v>TV Baden</v>
      </c>
      <c r="M83" s="151" t="s">
        <v>20</v>
      </c>
      <c r="N83" s="152">
        <v>14</v>
      </c>
      <c r="O83" s="153" t="str">
        <f ca="1" t="shared" si="13"/>
        <v>TV Oberschopfheim</v>
      </c>
      <c r="P83" s="147"/>
      <c r="Q83" s="145">
        <v>42</v>
      </c>
      <c r="R83" s="154" t="s">
        <v>27</v>
      </c>
      <c r="S83" s="145">
        <v>32</v>
      </c>
      <c r="T83" s="155">
        <f t="shared" si="9"/>
        <v>2</v>
      </c>
      <c r="U83" s="154" t="s">
        <v>27</v>
      </c>
      <c r="V83" s="156">
        <f t="shared" si="10"/>
        <v>0</v>
      </c>
      <c r="X83" s="154" t="s">
        <v>53</v>
      </c>
      <c r="Y83" s="154" t="s">
        <v>53</v>
      </c>
      <c r="AA83" s="145" t="s">
        <v>88</v>
      </c>
      <c r="AB83" s="145">
        <v>7</v>
      </c>
      <c r="AC83" s="145" t="s">
        <v>40</v>
      </c>
    </row>
    <row r="84" spans="2:29" ht="12.75">
      <c r="B84" s="152"/>
      <c r="C84" s="152"/>
      <c r="D84" s="152">
        <f t="shared" si="14"/>
        <v>59</v>
      </c>
      <c r="E84" s="152">
        <v>3</v>
      </c>
      <c r="F84" s="158" t="s">
        <v>19</v>
      </c>
      <c r="G84" s="152">
        <v>2</v>
      </c>
      <c r="H84" s="153" t="str">
        <f ca="1" t="shared" si="11"/>
        <v>SV Werder Bremen</v>
      </c>
      <c r="I84" s="157" t="s">
        <v>28</v>
      </c>
      <c r="J84" s="158" t="s">
        <v>19</v>
      </c>
      <c r="K84" s="152">
        <v>3</v>
      </c>
      <c r="L84" s="153" t="str">
        <f ca="1" t="shared" si="12"/>
        <v>TB Hückeswagen</v>
      </c>
      <c r="M84" s="158" t="s">
        <v>19</v>
      </c>
      <c r="N84" s="152">
        <v>4</v>
      </c>
      <c r="O84" s="153" t="str">
        <f ca="1" t="shared" si="13"/>
        <v>TV Kierdorf</v>
      </c>
      <c r="P84" s="147"/>
      <c r="Q84" s="145">
        <v>35</v>
      </c>
      <c r="R84" s="154" t="s">
        <v>27</v>
      </c>
      <c r="S84" s="145">
        <v>39</v>
      </c>
      <c r="T84" s="155">
        <f t="shared" si="9"/>
        <v>0</v>
      </c>
      <c r="U84" s="154" t="s">
        <v>27</v>
      </c>
      <c r="V84" s="156">
        <f t="shared" si="10"/>
        <v>2</v>
      </c>
      <c r="X84" s="154" t="s">
        <v>53</v>
      </c>
      <c r="Y84" s="154" t="s">
        <v>53</v>
      </c>
      <c r="AA84" s="145" t="s">
        <v>88</v>
      </c>
      <c r="AB84" s="145">
        <v>8</v>
      </c>
      <c r="AC84" s="145" t="s">
        <v>40</v>
      </c>
    </row>
    <row r="85" spans="2:29" ht="12.75">
      <c r="B85" s="159"/>
      <c r="C85" s="159"/>
      <c r="D85" s="159">
        <f t="shared" si="14"/>
        <v>60</v>
      </c>
      <c r="E85" s="159">
        <v>4</v>
      </c>
      <c r="F85" s="160" t="s">
        <v>19</v>
      </c>
      <c r="G85" s="172">
        <v>12</v>
      </c>
      <c r="H85" s="173" t="str">
        <f ca="1" t="shared" si="11"/>
        <v>VfK 1901 Berlin</v>
      </c>
      <c r="I85" s="167" t="s">
        <v>28</v>
      </c>
      <c r="J85" s="160" t="s">
        <v>19</v>
      </c>
      <c r="K85" s="172">
        <v>13</v>
      </c>
      <c r="L85" s="173" t="str">
        <f ca="1" t="shared" si="12"/>
        <v>SV Weiler</v>
      </c>
      <c r="M85" s="160" t="s">
        <v>19</v>
      </c>
      <c r="N85" s="172">
        <v>14</v>
      </c>
      <c r="O85" s="173" t="str">
        <f ca="1" t="shared" si="13"/>
        <v>SV Prag Stuttgart</v>
      </c>
      <c r="P85" s="163"/>
      <c r="Q85" s="159">
        <v>39</v>
      </c>
      <c r="R85" s="162" t="s">
        <v>27</v>
      </c>
      <c r="S85" s="159">
        <v>40</v>
      </c>
      <c r="T85" s="164">
        <f t="shared" si="9"/>
        <v>0</v>
      </c>
      <c r="U85" s="162" t="s">
        <v>27</v>
      </c>
      <c r="V85" s="165">
        <f t="shared" si="10"/>
        <v>2</v>
      </c>
      <c r="W85" s="166"/>
      <c r="X85" s="162" t="s">
        <v>53</v>
      </c>
      <c r="Y85" s="162" t="s">
        <v>53</v>
      </c>
      <c r="AA85" s="145" t="s">
        <v>88</v>
      </c>
      <c r="AB85" s="145">
        <v>8</v>
      </c>
      <c r="AC85" s="145" t="s">
        <v>40</v>
      </c>
    </row>
    <row r="86" spans="2:29" ht="12.75">
      <c r="B86" s="152">
        <f>+B82+1</f>
        <v>17</v>
      </c>
      <c r="C86" s="168">
        <f>+Daten!N20</f>
        <v>0.6354166666666669</v>
      </c>
      <c r="D86" s="152">
        <f t="shared" si="14"/>
        <v>61</v>
      </c>
      <c r="E86" s="152">
        <v>1</v>
      </c>
      <c r="F86" s="151" t="s">
        <v>20</v>
      </c>
      <c r="G86" s="152">
        <v>4</v>
      </c>
      <c r="H86" s="153" t="str">
        <f ca="1" t="shared" si="11"/>
        <v>TSV Radevormwald</v>
      </c>
      <c r="I86" s="157" t="s">
        <v>28</v>
      </c>
      <c r="J86" s="151" t="s">
        <v>20</v>
      </c>
      <c r="K86" s="152">
        <v>5</v>
      </c>
      <c r="L86" s="153" t="str">
        <f ca="1" t="shared" si="12"/>
        <v>TV Edingen</v>
      </c>
      <c r="M86" s="151" t="s">
        <v>20</v>
      </c>
      <c r="N86" s="152">
        <v>1</v>
      </c>
      <c r="O86" s="153" t="str">
        <f ca="1" t="shared" si="13"/>
        <v>VfK 1901 Berlin</v>
      </c>
      <c r="P86" s="169"/>
      <c r="Q86" s="152">
        <v>41</v>
      </c>
      <c r="R86" s="157" t="s">
        <v>27</v>
      </c>
      <c r="S86" s="152">
        <v>37</v>
      </c>
      <c r="T86" s="170">
        <f t="shared" si="9"/>
        <v>2</v>
      </c>
      <c r="U86" s="157" t="s">
        <v>27</v>
      </c>
      <c r="V86" s="171">
        <f t="shared" si="10"/>
        <v>0</v>
      </c>
      <c r="W86" s="166"/>
      <c r="X86" s="157" t="s">
        <v>53</v>
      </c>
      <c r="Y86" s="157" t="s">
        <v>53</v>
      </c>
      <c r="AA86" s="145" t="s">
        <v>88</v>
      </c>
      <c r="AB86" s="145">
        <v>9</v>
      </c>
      <c r="AC86" s="145" t="s">
        <v>40</v>
      </c>
    </row>
    <row r="87" spans="2:29" ht="12.75">
      <c r="B87" s="152"/>
      <c r="C87" s="152"/>
      <c r="D87" s="152">
        <f t="shared" si="14"/>
        <v>62</v>
      </c>
      <c r="E87" s="152">
        <v>2</v>
      </c>
      <c r="F87" s="151" t="s">
        <v>20</v>
      </c>
      <c r="G87" s="152">
        <v>14</v>
      </c>
      <c r="H87" s="153" t="str">
        <f ca="1" t="shared" si="11"/>
        <v>TV Oberschopfheim</v>
      </c>
      <c r="I87" s="157" t="s">
        <v>28</v>
      </c>
      <c r="J87" s="151" t="s">
        <v>20</v>
      </c>
      <c r="K87" s="152">
        <v>15</v>
      </c>
      <c r="L87" s="153" t="str">
        <f ca="1" t="shared" si="12"/>
        <v>SKG Ober Ramstadt</v>
      </c>
      <c r="M87" s="151" t="s">
        <v>20</v>
      </c>
      <c r="N87" s="152">
        <v>11</v>
      </c>
      <c r="O87" s="153" t="str">
        <f ca="1" t="shared" si="13"/>
        <v>TV Grohn</v>
      </c>
      <c r="P87" s="169"/>
      <c r="Q87" s="152">
        <v>42</v>
      </c>
      <c r="R87" s="157" t="s">
        <v>27</v>
      </c>
      <c r="S87" s="152">
        <v>34</v>
      </c>
      <c r="T87" s="170">
        <f t="shared" si="9"/>
        <v>2</v>
      </c>
      <c r="U87" s="157" t="s">
        <v>27</v>
      </c>
      <c r="V87" s="171">
        <f t="shared" si="10"/>
        <v>0</v>
      </c>
      <c r="W87" s="166"/>
      <c r="X87" s="157" t="s">
        <v>53</v>
      </c>
      <c r="Y87" s="157" t="s">
        <v>53</v>
      </c>
      <c r="AA87" s="145" t="s">
        <v>88</v>
      </c>
      <c r="AB87" s="145">
        <v>9</v>
      </c>
      <c r="AC87" s="145" t="s">
        <v>40</v>
      </c>
    </row>
    <row r="88" spans="2:29" ht="12.75">
      <c r="B88" s="152"/>
      <c r="C88" s="152"/>
      <c r="D88" s="152">
        <f t="shared" si="14"/>
        <v>63</v>
      </c>
      <c r="E88" s="152">
        <v>3</v>
      </c>
      <c r="F88" s="158" t="s">
        <v>19</v>
      </c>
      <c r="G88" s="145">
        <v>4</v>
      </c>
      <c r="H88" s="153" t="str">
        <f ca="1" t="shared" si="11"/>
        <v>TV Kierdorf</v>
      </c>
      <c r="I88" s="154" t="s">
        <v>28</v>
      </c>
      <c r="J88" s="158" t="s">
        <v>19</v>
      </c>
      <c r="K88" s="145">
        <v>5</v>
      </c>
      <c r="L88" s="153" t="str">
        <f ca="1" t="shared" si="12"/>
        <v>TSV Krumbach</v>
      </c>
      <c r="M88" s="158" t="s">
        <v>19</v>
      </c>
      <c r="N88" s="145">
        <v>1</v>
      </c>
      <c r="O88" s="153" t="str">
        <f ca="1" t="shared" si="13"/>
        <v>TV Kleefeld</v>
      </c>
      <c r="P88" s="169"/>
      <c r="Q88" s="152">
        <v>32</v>
      </c>
      <c r="R88" s="157" t="s">
        <v>27</v>
      </c>
      <c r="S88" s="152">
        <v>36</v>
      </c>
      <c r="T88" s="170">
        <f t="shared" si="9"/>
        <v>0</v>
      </c>
      <c r="U88" s="157" t="s">
        <v>27</v>
      </c>
      <c r="V88" s="171">
        <f t="shared" si="10"/>
        <v>2</v>
      </c>
      <c r="W88" s="166"/>
      <c r="X88" s="157" t="s">
        <v>53</v>
      </c>
      <c r="Y88" s="157" t="s">
        <v>53</v>
      </c>
      <c r="AA88" s="145" t="s">
        <v>88</v>
      </c>
      <c r="AB88" s="145">
        <v>10</v>
      </c>
      <c r="AC88" s="145" t="s">
        <v>40</v>
      </c>
    </row>
    <row r="89" spans="2:29" ht="12.75">
      <c r="B89" s="159"/>
      <c r="C89" s="159"/>
      <c r="D89" s="159">
        <f t="shared" si="14"/>
        <v>64</v>
      </c>
      <c r="E89" s="159">
        <v>4</v>
      </c>
      <c r="F89" s="160" t="s">
        <v>19</v>
      </c>
      <c r="G89" s="159">
        <v>14</v>
      </c>
      <c r="H89" s="161" t="str">
        <f ca="1" t="shared" si="11"/>
        <v>SV Prag Stuttgart</v>
      </c>
      <c r="I89" s="162" t="s">
        <v>28</v>
      </c>
      <c r="J89" s="160" t="s">
        <v>19</v>
      </c>
      <c r="K89" s="159">
        <v>15</v>
      </c>
      <c r="L89" s="161" t="str">
        <f ca="1" t="shared" si="12"/>
        <v>SKG Ober Ramstadt</v>
      </c>
      <c r="M89" s="160" t="s">
        <v>19</v>
      </c>
      <c r="N89" s="159">
        <v>11</v>
      </c>
      <c r="O89" s="161" t="str">
        <f ca="1" t="shared" si="13"/>
        <v>SSC Dodesheide</v>
      </c>
      <c r="P89" s="163"/>
      <c r="Q89" s="159">
        <v>40</v>
      </c>
      <c r="R89" s="162" t="s">
        <v>27</v>
      </c>
      <c r="S89" s="159">
        <v>36</v>
      </c>
      <c r="T89" s="164">
        <f t="shared" si="9"/>
        <v>2</v>
      </c>
      <c r="U89" s="162" t="s">
        <v>27</v>
      </c>
      <c r="V89" s="165">
        <f t="shared" si="10"/>
        <v>0</v>
      </c>
      <c r="W89" s="166"/>
      <c r="X89" s="162" t="s">
        <v>53</v>
      </c>
      <c r="Y89" s="162" t="s">
        <v>53</v>
      </c>
      <c r="AA89" s="145" t="s">
        <v>88</v>
      </c>
      <c r="AB89" s="145">
        <v>10</v>
      </c>
      <c r="AC89" s="145" t="s">
        <v>40</v>
      </c>
    </row>
    <row r="90" spans="2:29" ht="12.75">
      <c r="B90" s="152">
        <f>+B86+1</f>
        <v>18</v>
      </c>
      <c r="C90" s="168">
        <f>+Daten!N21</f>
        <v>0.6562500000000002</v>
      </c>
      <c r="D90" s="152">
        <f t="shared" si="14"/>
        <v>65</v>
      </c>
      <c r="E90" s="152">
        <v>1</v>
      </c>
      <c r="F90" s="151" t="s">
        <v>20</v>
      </c>
      <c r="G90" s="152">
        <v>1</v>
      </c>
      <c r="H90" s="153" t="str">
        <f ca="1" t="shared" si="11"/>
        <v>VfK 1901 Berlin</v>
      </c>
      <c r="I90" s="157" t="s">
        <v>28</v>
      </c>
      <c r="J90" s="151" t="s">
        <v>20</v>
      </c>
      <c r="K90" s="152">
        <v>3</v>
      </c>
      <c r="L90" s="153" t="str">
        <f ca="1" t="shared" si="12"/>
        <v>3. West</v>
      </c>
      <c r="M90" s="151" t="s">
        <v>20</v>
      </c>
      <c r="N90" s="152">
        <v>2</v>
      </c>
      <c r="O90" s="153" t="str">
        <f ca="1" t="shared" si="13"/>
        <v>MTV Eiche Schönebeck</v>
      </c>
      <c r="P90" s="169"/>
      <c r="Q90" s="152"/>
      <c r="R90" s="157" t="s">
        <v>27</v>
      </c>
      <c r="S90" s="152"/>
      <c r="T90" s="170">
        <f t="shared" si="9"/>
      </c>
      <c r="U90" s="157" t="s">
        <v>27</v>
      </c>
      <c r="V90" s="171">
        <f t="shared" si="10"/>
      </c>
      <c r="W90" s="166"/>
      <c r="X90" s="157" t="s">
        <v>53</v>
      </c>
      <c r="Y90" s="157" t="s">
        <v>53</v>
      </c>
      <c r="AA90" s="145" t="s">
        <v>88</v>
      </c>
      <c r="AB90" s="145">
        <v>11</v>
      </c>
      <c r="AC90" s="145" t="s">
        <v>40</v>
      </c>
    </row>
    <row r="91" spans="2:29" ht="12.75">
      <c r="B91" s="152"/>
      <c r="C91" s="152"/>
      <c r="D91" s="152">
        <f t="shared" si="14"/>
        <v>66</v>
      </c>
      <c r="E91" s="152">
        <v>2</v>
      </c>
      <c r="F91" s="151" t="s">
        <v>20</v>
      </c>
      <c r="G91" s="152">
        <v>11</v>
      </c>
      <c r="H91" s="153" t="str">
        <f ca="1" t="shared" si="11"/>
        <v>TV Grohn</v>
      </c>
      <c r="I91" s="157" t="s">
        <v>28</v>
      </c>
      <c r="J91" s="151" t="s">
        <v>20</v>
      </c>
      <c r="K91" s="152">
        <v>13</v>
      </c>
      <c r="L91" s="153" t="str">
        <f ca="1" t="shared" si="12"/>
        <v>TV Baden</v>
      </c>
      <c r="M91" s="151" t="s">
        <v>20</v>
      </c>
      <c r="N91" s="152">
        <v>12</v>
      </c>
      <c r="O91" s="153" t="str">
        <f ca="1" t="shared" si="13"/>
        <v>VfL Hannover</v>
      </c>
      <c r="P91" s="169"/>
      <c r="Q91" s="152">
        <v>39</v>
      </c>
      <c r="R91" s="157" t="s">
        <v>27</v>
      </c>
      <c r="S91" s="152">
        <v>40</v>
      </c>
      <c r="T91" s="170">
        <f t="shared" si="9"/>
        <v>0</v>
      </c>
      <c r="U91" s="157" t="s">
        <v>27</v>
      </c>
      <c r="V91" s="171">
        <f t="shared" si="10"/>
        <v>2</v>
      </c>
      <c r="W91" s="166"/>
      <c r="X91" s="157" t="s">
        <v>53</v>
      </c>
      <c r="Y91" s="157" t="s">
        <v>53</v>
      </c>
      <c r="AA91" s="145" t="s">
        <v>88</v>
      </c>
      <c r="AB91" s="145">
        <v>11</v>
      </c>
      <c r="AC91" s="145" t="s">
        <v>40</v>
      </c>
    </row>
    <row r="92" spans="2:29" ht="12.75">
      <c r="B92" s="152"/>
      <c r="C92" s="152"/>
      <c r="D92" s="152">
        <f t="shared" si="14"/>
        <v>67</v>
      </c>
      <c r="E92" s="152">
        <v>3</v>
      </c>
      <c r="F92" s="158" t="s">
        <v>19</v>
      </c>
      <c r="G92" s="152">
        <v>1</v>
      </c>
      <c r="H92" s="153" t="str">
        <f ca="1" t="shared" si="11"/>
        <v>TV Kleefeld</v>
      </c>
      <c r="I92" s="157" t="s">
        <v>28</v>
      </c>
      <c r="J92" s="158" t="s">
        <v>19</v>
      </c>
      <c r="K92" s="152">
        <v>3</v>
      </c>
      <c r="L92" s="153" t="str">
        <f ca="1" t="shared" si="12"/>
        <v>TB Hückeswagen</v>
      </c>
      <c r="M92" s="158" t="s">
        <v>19</v>
      </c>
      <c r="N92" s="152">
        <v>2</v>
      </c>
      <c r="O92" s="153" t="str">
        <f ca="1" t="shared" si="13"/>
        <v>SV Werder Bremen</v>
      </c>
      <c r="P92" s="169"/>
      <c r="Q92" s="152">
        <v>44</v>
      </c>
      <c r="R92" s="157" t="s">
        <v>27</v>
      </c>
      <c r="S92" s="152">
        <v>40</v>
      </c>
      <c r="T92" s="170">
        <f t="shared" si="9"/>
        <v>2</v>
      </c>
      <c r="U92" s="157" t="s">
        <v>27</v>
      </c>
      <c r="V92" s="171">
        <f t="shared" si="10"/>
        <v>0</v>
      </c>
      <c r="W92" s="166"/>
      <c r="X92" s="157" t="s">
        <v>53</v>
      </c>
      <c r="Y92" s="157" t="s">
        <v>53</v>
      </c>
      <c r="AA92" s="145" t="s">
        <v>88</v>
      </c>
      <c r="AB92" s="145">
        <v>12</v>
      </c>
      <c r="AC92" s="145" t="s">
        <v>40</v>
      </c>
    </row>
    <row r="93" spans="2:29" ht="12.75">
      <c r="B93" s="159"/>
      <c r="C93" s="159"/>
      <c r="D93" s="159">
        <f t="shared" si="14"/>
        <v>68</v>
      </c>
      <c r="E93" s="159">
        <v>4</v>
      </c>
      <c r="F93" s="160" t="s">
        <v>19</v>
      </c>
      <c r="G93" s="159">
        <v>11</v>
      </c>
      <c r="H93" s="161" t="str">
        <f ca="1" t="shared" si="11"/>
        <v>SSC Dodesheide</v>
      </c>
      <c r="I93" s="162" t="s">
        <v>28</v>
      </c>
      <c r="J93" s="160" t="s">
        <v>19</v>
      </c>
      <c r="K93" s="159">
        <v>13</v>
      </c>
      <c r="L93" s="161" t="str">
        <f ca="1" t="shared" si="12"/>
        <v>SV Weiler</v>
      </c>
      <c r="M93" s="160" t="s">
        <v>19</v>
      </c>
      <c r="N93" s="159">
        <v>12</v>
      </c>
      <c r="O93" s="161" t="str">
        <f ca="1" t="shared" si="13"/>
        <v>VfK 1901 Berlin</v>
      </c>
      <c r="P93" s="174"/>
      <c r="Q93" s="172">
        <v>38</v>
      </c>
      <c r="R93" s="167" t="s">
        <v>27</v>
      </c>
      <c r="S93" s="172">
        <v>39</v>
      </c>
      <c r="T93" s="175">
        <f t="shared" si="9"/>
        <v>0</v>
      </c>
      <c r="U93" s="167" t="s">
        <v>27</v>
      </c>
      <c r="V93" s="176">
        <f t="shared" si="10"/>
        <v>2</v>
      </c>
      <c r="W93" s="166"/>
      <c r="X93" s="162" t="s">
        <v>53</v>
      </c>
      <c r="Y93" s="162" t="s">
        <v>53</v>
      </c>
      <c r="AA93" s="145" t="s">
        <v>88</v>
      </c>
      <c r="AB93" s="145">
        <v>12</v>
      </c>
      <c r="AC93" s="145" t="s">
        <v>40</v>
      </c>
    </row>
    <row r="94" spans="2:29" ht="12.75">
      <c r="B94" s="152">
        <f>+B90+1</f>
        <v>19</v>
      </c>
      <c r="C94" s="168">
        <f>+Daten!N22</f>
        <v>0.6736111111111114</v>
      </c>
      <c r="D94" s="152">
        <f t="shared" si="14"/>
        <v>69</v>
      </c>
      <c r="E94" s="152">
        <v>1</v>
      </c>
      <c r="F94" s="151" t="s">
        <v>20</v>
      </c>
      <c r="G94" s="152">
        <v>2</v>
      </c>
      <c r="H94" s="153" t="str">
        <f ca="1" t="shared" si="11"/>
        <v>MTV Eiche Schönebeck</v>
      </c>
      <c r="I94" s="157" t="s">
        <v>28</v>
      </c>
      <c r="J94" s="151" t="s">
        <v>20</v>
      </c>
      <c r="K94" s="152">
        <v>4</v>
      </c>
      <c r="L94" s="153" t="str">
        <f ca="1" t="shared" si="12"/>
        <v>TSV Radevormwald</v>
      </c>
      <c r="M94" s="151" t="s">
        <v>20</v>
      </c>
      <c r="N94" s="152">
        <v>5</v>
      </c>
      <c r="O94" s="153" t="str">
        <f ca="1" t="shared" si="13"/>
        <v>TV Edingen</v>
      </c>
      <c r="P94" s="169"/>
      <c r="Q94" s="152">
        <v>32</v>
      </c>
      <c r="R94" s="157" t="s">
        <v>27</v>
      </c>
      <c r="S94" s="152">
        <v>40</v>
      </c>
      <c r="T94" s="170">
        <f t="shared" si="9"/>
        <v>0</v>
      </c>
      <c r="U94" s="157" t="s">
        <v>27</v>
      </c>
      <c r="V94" s="171">
        <f t="shared" si="10"/>
        <v>2</v>
      </c>
      <c r="W94" s="166"/>
      <c r="X94" s="157" t="s">
        <v>53</v>
      </c>
      <c r="Y94" s="157" t="s">
        <v>53</v>
      </c>
      <c r="AA94" s="145" t="s">
        <v>88</v>
      </c>
      <c r="AB94" s="145">
        <v>13</v>
      </c>
      <c r="AC94" s="145" t="s">
        <v>40</v>
      </c>
    </row>
    <row r="95" spans="2:29" ht="12.75">
      <c r="B95" s="152"/>
      <c r="C95" s="152"/>
      <c r="D95" s="152">
        <f t="shared" si="14"/>
        <v>70</v>
      </c>
      <c r="E95" s="152">
        <v>2</v>
      </c>
      <c r="F95" s="151" t="s">
        <v>20</v>
      </c>
      <c r="G95" s="152">
        <v>12</v>
      </c>
      <c r="H95" s="153" t="str">
        <f ca="1" t="shared" si="11"/>
        <v>VfL Hannover</v>
      </c>
      <c r="I95" s="157" t="s">
        <v>28</v>
      </c>
      <c r="J95" s="151" t="s">
        <v>20</v>
      </c>
      <c r="K95" s="152">
        <v>14</v>
      </c>
      <c r="L95" s="153" t="str">
        <f ca="1" t="shared" si="12"/>
        <v>TV Oberschopfheim</v>
      </c>
      <c r="M95" s="151" t="s">
        <v>20</v>
      </c>
      <c r="N95" s="152">
        <v>15</v>
      </c>
      <c r="O95" s="153" t="str">
        <f ca="1" t="shared" si="13"/>
        <v>SKG Ober Ramstadt</v>
      </c>
      <c r="P95" s="169"/>
      <c r="Q95" s="152">
        <v>39</v>
      </c>
      <c r="R95" s="157" t="s">
        <v>27</v>
      </c>
      <c r="S95" s="152">
        <v>36</v>
      </c>
      <c r="T95" s="170">
        <f t="shared" si="9"/>
        <v>2</v>
      </c>
      <c r="U95" s="157" t="s">
        <v>27</v>
      </c>
      <c r="V95" s="171">
        <f t="shared" si="10"/>
        <v>0</v>
      </c>
      <c r="W95" s="166"/>
      <c r="X95" s="157" t="s">
        <v>53</v>
      </c>
      <c r="Y95" s="157" t="s">
        <v>53</v>
      </c>
      <c r="AA95" s="145" t="s">
        <v>88</v>
      </c>
      <c r="AB95" s="145">
        <v>13</v>
      </c>
      <c r="AC95" s="145" t="s">
        <v>40</v>
      </c>
    </row>
    <row r="96" spans="2:29" ht="12.75">
      <c r="B96" s="152"/>
      <c r="C96" s="152"/>
      <c r="D96" s="152">
        <f t="shared" si="14"/>
        <v>71</v>
      </c>
      <c r="E96" s="152">
        <v>3</v>
      </c>
      <c r="F96" s="158" t="s">
        <v>19</v>
      </c>
      <c r="G96" s="152">
        <v>2</v>
      </c>
      <c r="H96" s="153" t="str">
        <f ca="1" t="shared" si="11"/>
        <v>SV Werder Bremen</v>
      </c>
      <c r="I96" s="157" t="s">
        <v>28</v>
      </c>
      <c r="J96" s="158" t="s">
        <v>19</v>
      </c>
      <c r="K96" s="152">
        <v>4</v>
      </c>
      <c r="L96" s="153" t="str">
        <f ca="1" t="shared" si="12"/>
        <v>TV Kierdorf</v>
      </c>
      <c r="M96" s="158" t="s">
        <v>19</v>
      </c>
      <c r="N96" s="152">
        <v>5</v>
      </c>
      <c r="O96" s="153" t="str">
        <f ca="1" t="shared" si="13"/>
        <v>TSV Krumbach</v>
      </c>
      <c r="P96" s="169"/>
      <c r="Q96" s="152">
        <v>33</v>
      </c>
      <c r="R96" s="157" t="s">
        <v>27</v>
      </c>
      <c r="S96" s="152">
        <v>34</v>
      </c>
      <c r="T96" s="170">
        <f t="shared" si="9"/>
        <v>0</v>
      </c>
      <c r="U96" s="157" t="s">
        <v>27</v>
      </c>
      <c r="V96" s="171">
        <f t="shared" si="10"/>
        <v>2</v>
      </c>
      <c r="W96" s="166"/>
      <c r="X96" s="157" t="s">
        <v>53</v>
      </c>
      <c r="Y96" s="157" t="s">
        <v>53</v>
      </c>
      <c r="AA96" s="145" t="s">
        <v>88</v>
      </c>
      <c r="AB96" s="145">
        <v>14</v>
      </c>
      <c r="AC96" s="145" t="s">
        <v>40</v>
      </c>
    </row>
    <row r="97" spans="2:29" ht="12.75">
      <c r="B97" s="159"/>
      <c r="C97" s="159"/>
      <c r="D97" s="159">
        <f t="shared" si="14"/>
        <v>72</v>
      </c>
      <c r="E97" s="159">
        <v>4</v>
      </c>
      <c r="F97" s="160" t="s">
        <v>19</v>
      </c>
      <c r="G97" s="159">
        <v>12</v>
      </c>
      <c r="H97" s="161" t="str">
        <f ca="1" t="shared" si="15" ref="H97:H109">INDIRECT(ADDRESS(MATCH(G97,$A$1:$A$19,0),MATCH(F97,$A$3:$AE$3,0)))</f>
        <v>VfK 1901 Berlin</v>
      </c>
      <c r="I97" s="162" t="s">
        <v>28</v>
      </c>
      <c r="J97" s="160" t="s">
        <v>19</v>
      </c>
      <c r="K97" s="159">
        <v>14</v>
      </c>
      <c r="L97" s="161" t="str">
        <f ca="1" t="shared" si="12"/>
        <v>SV Prag Stuttgart</v>
      </c>
      <c r="M97" s="160" t="s">
        <v>19</v>
      </c>
      <c r="N97" s="159">
        <v>15</v>
      </c>
      <c r="O97" s="161" t="str">
        <f ca="1" t="shared" si="13"/>
        <v>SKG Ober Ramstadt</v>
      </c>
      <c r="P97" s="163"/>
      <c r="Q97" s="159">
        <v>30</v>
      </c>
      <c r="R97" s="162" t="s">
        <v>27</v>
      </c>
      <c r="S97" s="159">
        <v>33</v>
      </c>
      <c r="T97" s="164">
        <f t="shared" si="9"/>
        <v>0</v>
      </c>
      <c r="U97" s="162" t="s">
        <v>27</v>
      </c>
      <c r="V97" s="165">
        <f t="shared" si="10"/>
        <v>2</v>
      </c>
      <c r="W97" s="166"/>
      <c r="X97" s="162" t="s">
        <v>53</v>
      </c>
      <c r="Y97" s="162" t="s">
        <v>53</v>
      </c>
      <c r="AA97" s="145" t="s">
        <v>88</v>
      </c>
      <c r="AB97" s="145">
        <v>14</v>
      </c>
      <c r="AC97" s="145" t="s">
        <v>40</v>
      </c>
    </row>
    <row r="98" spans="2:29" ht="12.75">
      <c r="B98" s="152">
        <f>+B94+1</f>
        <v>20</v>
      </c>
      <c r="C98" s="168">
        <f>+Daten!N23</f>
        <v>0.6909722222222225</v>
      </c>
      <c r="D98" s="152">
        <f t="shared" si="14"/>
        <v>73</v>
      </c>
      <c r="E98" s="152">
        <v>1</v>
      </c>
      <c r="F98" s="151" t="s">
        <v>20</v>
      </c>
      <c r="G98" s="152">
        <v>3</v>
      </c>
      <c r="H98" s="153" t="str">
        <f ca="1" t="shared" si="15"/>
        <v>3. West</v>
      </c>
      <c r="I98" s="157" t="s">
        <v>28</v>
      </c>
      <c r="J98" s="151" t="s">
        <v>20</v>
      </c>
      <c r="K98" s="152">
        <v>5</v>
      </c>
      <c r="L98" s="153" t="str">
        <f ca="1" t="shared" si="12"/>
        <v>TV Edingen</v>
      </c>
      <c r="M98" s="151" t="s">
        <v>20</v>
      </c>
      <c r="N98" s="152">
        <v>1</v>
      </c>
      <c r="O98" s="153" t="str">
        <f ca="1" t="shared" si="13"/>
        <v>VfK 1901 Berlin</v>
      </c>
      <c r="P98" s="169"/>
      <c r="Q98" s="152"/>
      <c r="R98" s="157" t="s">
        <v>27</v>
      </c>
      <c r="S98" s="152"/>
      <c r="T98" s="170">
        <f t="shared" si="9"/>
      </c>
      <c r="U98" s="157" t="s">
        <v>27</v>
      </c>
      <c r="V98" s="171">
        <f t="shared" si="10"/>
      </c>
      <c r="W98" s="166"/>
      <c r="X98" s="157" t="s">
        <v>53</v>
      </c>
      <c r="Y98" s="157" t="s">
        <v>53</v>
      </c>
      <c r="AA98" s="145" t="s">
        <v>88</v>
      </c>
      <c r="AB98" s="145">
        <v>15</v>
      </c>
      <c r="AC98" s="145" t="s">
        <v>40</v>
      </c>
    </row>
    <row r="99" spans="2:29" ht="12.75">
      <c r="B99" s="152"/>
      <c r="C99" s="152"/>
      <c r="D99" s="152">
        <f t="shared" si="14"/>
        <v>74</v>
      </c>
      <c r="E99" s="152">
        <v>2</v>
      </c>
      <c r="F99" s="151" t="s">
        <v>20</v>
      </c>
      <c r="G99" s="152">
        <v>13</v>
      </c>
      <c r="H99" s="153" t="str">
        <f ca="1" t="shared" si="15"/>
        <v>TV Baden</v>
      </c>
      <c r="I99" s="157" t="s">
        <v>28</v>
      </c>
      <c r="J99" s="151" t="s">
        <v>20</v>
      </c>
      <c r="K99" s="152">
        <v>15</v>
      </c>
      <c r="L99" s="153" t="str">
        <f ca="1" t="shared" si="12"/>
        <v>SKG Ober Ramstadt</v>
      </c>
      <c r="M99" s="151" t="s">
        <v>20</v>
      </c>
      <c r="N99" s="152">
        <v>11</v>
      </c>
      <c r="O99" s="153" t="str">
        <f ca="1" t="shared" si="13"/>
        <v>TV Grohn</v>
      </c>
      <c r="P99" s="169"/>
      <c r="Q99" s="152">
        <v>43</v>
      </c>
      <c r="R99" s="157" t="s">
        <v>27</v>
      </c>
      <c r="S99" s="152">
        <v>33</v>
      </c>
      <c r="T99" s="170">
        <f t="shared" si="9"/>
        <v>2</v>
      </c>
      <c r="U99" s="157" t="s">
        <v>27</v>
      </c>
      <c r="V99" s="171">
        <f t="shared" si="10"/>
        <v>0</v>
      </c>
      <c r="W99" s="166"/>
      <c r="X99" s="157" t="s">
        <v>53</v>
      </c>
      <c r="Y99" s="157" t="s">
        <v>53</v>
      </c>
      <c r="AA99" s="145" t="s">
        <v>88</v>
      </c>
      <c r="AB99" s="145">
        <v>15</v>
      </c>
      <c r="AC99" s="145" t="s">
        <v>40</v>
      </c>
    </row>
    <row r="100" spans="2:29" ht="12.75">
      <c r="B100" s="152"/>
      <c r="C100" s="152"/>
      <c r="D100" s="152">
        <f t="shared" si="14"/>
        <v>75</v>
      </c>
      <c r="E100" s="152">
        <v>3</v>
      </c>
      <c r="F100" s="158" t="s">
        <v>19</v>
      </c>
      <c r="G100" s="152">
        <v>3</v>
      </c>
      <c r="H100" s="153" t="str">
        <f ca="1" t="shared" si="15"/>
        <v>TB Hückeswagen</v>
      </c>
      <c r="I100" s="157" t="s">
        <v>28</v>
      </c>
      <c r="J100" s="158" t="s">
        <v>19</v>
      </c>
      <c r="K100" s="152">
        <v>5</v>
      </c>
      <c r="L100" s="153" t="str">
        <f ca="1" t="shared" si="12"/>
        <v>TSV Krumbach</v>
      </c>
      <c r="M100" s="158" t="s">
        <v>19</v>
      </c>
      <c r="N100" s="152">
        <v>1</v>
      </c>
      <c r="O100" s="153" t="str">
        <f ca="1" t="shared" si="13"/>
        <v>TV Kleefeld</v>
      </c>
      <c r="P100" s="169"/>
      <c r="Q100" s="152">
        <v>34</v>
      </c>
      <c r="R100" s="157" t="s">
        <v>27</v>
      </c>
      <c r="S100" s="152">
        <v>39</v>
      </c>
      <c r="T100" s="170">
        <f t="shared" si="9"/>
        <v>0</v>
      </c>
      <c r="U100" s="157" t="s">
        <v>27</v>
      </c>
      <c r="V100" s="171">
        <f t="shared" si="10"/>
        <v>2</v>
      </c>
      <c r="W100" s="166"/>
      <c r="X100" s="157" t="s">
        <v>53</v>
      </c>
      <c r="Y100" s="157" t="s">
        <v>53</v>
      </c>
      <c r="AA100" s="145" t="s">
        <v>88</v>
      </c>
      <c r="AB100" s="145">
        <v>16</v>
      </c>
      <c r="AC100" s="145" t="s">
        <v>40</v>
      </c>
    </row>
    <row r="101" spans="2:29" ht="12.75">
      <c r="B101" s="159"/>
      <c r="C101" s="159"/>
      <c r="D101" s="159">
        <f t="shared" si="14"/>
        <v>76</v>
      </c>
      <c r="E101" s="159">
        <v>4</v>
      </c>
      <c r="F101" s="160" t="s">
        <v>19</v>
      </c>
      <c r="G101" s="159">
        <v>13</v>
      </c>
      <c r="H101" s="161" t="str">
        <f ca="1" t="shared" si="15"/>
        <v>SV Weiler</v>
      </c>
      <c r="I101" s="162" t="s">
        <v>28</v>
      </c>
      <c r="J101" s="160" t="s">
        <v>19</v>
      </c>
      <c r="K101" s="159">
        <v>15</v>
      </c>
      <c r="L101" s="161" t="str">
        <f ca="1" t="shared" si="12"/>
        <v>SKG Ober Ramstadt</v>
      </c>
      <c r="M101" s="160" t="s">
        <v>19</v>
      </c>
      <c r="N101" s="159">
        <v>11</v>
      </c>
      <c r="O101" s="161" t="str">
        <f ca="1" t="shared" si="13"/>
        <v>SSC Dodesheide</v>
      </c>
      <c r="P101" s="163"/>
      <c r="Q101" s="159">
        <v>38</v>
      </c>
      <c r="R101" s="162" t="s">
        <v>27</v>
      </c>
      <c r="S101" s="159">
        <v>38</v>
      </c>
      <c r="T101" s="164">
        <f t="shared" si="9"/>
        <v>1</v>
      </c>
      <c r="U101" s="162" t="s">
        <v>27</v>
      </c>
      <c r="V101" s="165">
        <f t="shared" si="10"/>
        <v>1</v>
      </c>
      <c r="W101" s="166"/>
      <c r="X101" s="162" t="s">
        <v>53</v>
      </c>
      <c r="Y101" s="162" t="s">
        <v>53</v>
      </c>
      <c r="AA101" s="145" t="s">
        <v>88</v>
      </c>
      <c r="AB101" s="145">
        <v>16</v>
      </c>
      <c r="AC101" s="145" t="s">
        <v>40</v>
      </c>
    </row>
    <row r="102" spans="2:29" ht="12.75">
      <c r="B102" s="152">
        <f>+B98+1</f>
        <v>21</v>
      </c>
      <c r="C102" s="168">
        <f>+Daten!N24</f>
        <v>0.7083333333333337</v>
      </c>
      <c r="D102" s="152">
        <f t="shared" si="14"/>
        <v>77</v>
      </c>
      <c r="E102" s="152">
        <v>1</v>
      </c>
      <c r="F102" s="151" t="s">
        <v>20</v>
      </c>
      <c r="G102" s="152">
        <v>1</v>
      </c>
      <c r="H102" s="153" t="str">
        <f ca="1" t="shared" si="15"/>
        <v>VfK 1901 Berlin</v>
      </c>
      <c r="I102" s="157" t="s">
        <v>28</v>
      </c>
      <c r="J102" s="151" t="s">
        <v>20</v>
      </c>
      <c r="K102" s="152">
        <v>4</v>
      </c>
      <c r="L102" s="153" t="str">
        <f ca="1" t="shared" si="12"/>
        <v>TSV Radevormwald</v>
      </c>
      <c r="M102" s="151" t="s">
        <v>20</v>
      </c>
      <c r="N102" s="152">
        <v>3</v>
      </c>
      <c r="O102" s="153" t="str">
        <f ca="1" t="shared" si="13"/>
        <v>3. West</v>
      </c>
      <c r="P102" s="169"/>
      <c r="Q102" s="152">
        <v>32</v>
      </c>
      <c r="R102" s="157" t="s">
        <v>27</v>
      </c>
      <c r="S102" s="152">
        <v>43</v>
      </c>
      <c r="T102" s="170">
        <f t="shared" si="9"/>
        <v>0</v>
      </c>
      <c r="U102" s="157" t="s">
        <v>27</v>
      </c>
      <c r="V102" s="171">
        <f t="shared" si="10"/>
        <v>2</v>
      </c>
      <c r="W102" s="166"/>
      <c r="X102" s="157" t="s">
        <v>53</v>
      </c>
      <c r="Y102" s="157" t="s">
        <v>53</v>
      </c>
      <c r="AA102" s="145" t="s">
        <v>88</v>
      </c>
      <c r="AB102" s="145">
        <v>17</v>
      </c>
      <c r="AC102" s="145" t="s">
        <v>40</v>
      </c>
    </row>
    <row r="103" spans="2:29" ht="12.75">
      <c r="B103" s="152"/>
      <c r="C103" s="152"/>
      <c r="D103" s="152">
        <f t="shared" si="14"/>
        <v>78</v>
      </c>
      <c r="E103" s="152">
        <v>2</v>
      </c>
      <c r="F103" s="151" t="s">
        <v>20</v>
      </c>
      <c r="G103" s="152">
        <v>11</v>
      </c>
      <c r="H103" s="153" t="str">
        <f ca="1" t="shared" si="15"/>
        <v>TV Grohn</v>
      </c>
      <c r="I103" s="157" t="s">
        <v>28</v>
      </c>
      <c r="J103" s="151" t="s">
        <v>20</v>
      </c>
      <c r="K103" s="152">
        <v>14</v>
      </c>
      <c r="L103" s="153" t="str">
        <f ca="1" t="shared" si="12"/>
        <v>TV Oberschopfheim</v>
      </c>
      <c r="M103" s="151" t="s">
        <v>20</v>
      </c>
      <c r="N103" s="152">
        <v>13</v>
      </c>
      <c r="O103" s="153" t="str">
        <f ca="1" t="shared" si="13"/>
        <v>TV Baden</v>
      </c>
      <c r="P103" s="169"/>
      <c r="Q103" s="152">
        <v>43</v>
      </c>
      <c r="R103" s="157" t="s">
        <v>27</v>
      </c>
      <c r="S103" s="152">
        <v>42</v>
      </c>
      <c r="T103" s="170">
        <f t="shared" si="9"/>
        <v>2</v>
      </c>
      <c r="U103" s="157" t="s">
        <v>27</v>
      </c>
      <c r="V103" s="171">
        <f t="shared" si="10"/>
        <v>0</v>
      </c>
      <c r="W103" s="166"/>
      <c r="X103" s="157" t="s">
        <v>53</v>
      </c>
      <c r="Y103" s="157" t="s">
        <v>53</v>
      </c>
      <c r="AA103" s="145" t="s">
        <v>88</v>
      </c>
      <c r="AB103" s="145">
        <v>17</v>
      </c>
      <c r="AC103" s="145" t="s">
        <v>40</v>
      </c>
    </row>
    <row r="104" spans="2:29" ht="12.75">
      <c r="B104" s="152"/>
      <c r="C104" s="152"/>
      <c r="D104" s="152">
        <f t="shared" si="14"/>
        <v>79</v>
      </c>
      <c r="E104" s="152">
        <v>3</v>
      </c>
      <c r="F104" s="158" t="s">
        <v>19</v>
      </c>
      <c r="G104" s="152">
        <v>1</v>
      </c>
      <c r="H104" s="153" t="str">
        <f ca="1" t="shared" si="15"/>
        <v>TV Kleefeld</v>
      </c>
      <c r="I104" s="157" t="s">
        <v>28</v>
      </c>
      <c r="J104" s="158" t="s">
        <v>19</v>
      </c>
      <c r="K104" s="152">
        <v>4</v>
      </c>
      <c r="L104" s="153" t="str">
        <f ca="1" t="shared" si="12"/>
        <v>TV Kierdorf</v>
      </c>
      <c r="M104" s="158" t="s">
        <v>19</v>
      </c>
      <c r="N104" s="152">
        <v>3</v>
      </c>
      <c r="O104" s="153" t="str">
        <f ca="1" t="shared" si="13"/>
        <v>TB Hückeswagen</v>
      </c>
      <c r="P104" s="169"/>
      <c r="Q104" s="152">
        <v>31</v>
      </c>
      <c r="R104" s="157" t="s">
        <v>27</v>
      </c>
      <c r="S104" s="152">
        <v>30</v>
      </c>
      <c r="T104" s="170">
        <f t="shared" si="9"/>
        <v>2</v>
      </c>
      <c r="U104" s="157" t="s">
        <v>27</v>
      </c>
      <c r="V104" s="171">
        <f t="shared" si="10"/>
        <v>0</v>
      </c>
      <c r="W104" s="166"/>
      <c r="X104" s="157" t="s">
        <v>53</v>
      </c>
      <c r="Y104" s="157" t="s">
        <v>53</v>
      </c>
      <c r="AA104" s="145" t="s">
        <v>88</v>
      </c>
      <c r="AB104" s="145">
        <v>18</v>
      </c>
      <c r="AC104" s="145" t="s">
        <v>40</v>
      </c>
    </row>
    <row r="105" spans="2:29" ht="12.75">
      <c r="B105" s="159"/>
      <c r="C105" s="159"/>
      <c r="D105" s="159">
        <f t="shared" si="14"/>
        <v>80</v>
      </c>
      <c r="E105" s="159">
        <v>4</v>
      </c>
      <c r="F105" s="160" t="s">
        <v>19</v>
      </c>
      <c r="G105" s="159">
        <v>11</v>
      </c>
      <c r="H105" s="161" t="str">
        <f ca="1" t="shared" si="15"/>
        <v>SSC Dodesheide</v>
      </c>
      <c r="I105" s="162" t="s">
        <v>28</v>
      </c>
      <c r="J105" s="160" t="s">
        <v>19</v>
      </c>
      <c r="K105" s="159">
        <v>14</v>
      </c>
      <c r="L105" s="161" t="str">
        <f ca="1" t="shared" si="12"/>
        <v>SV Prag Stuttgart</v>
      </c>
      <c r="M105" s="160" t="s">
        <v>19</v>
      </c>
      <c r="N105" s="159">
        <v>13</v>
      </c>
      <c r="O105" s="161" t="str">
        <f ca="1" t="shared" si="13"/>
        <v>SV Weiler</v>
      </c>
      <c r="P105" s="163"/>
      <c r="Q105" s="159">
        <v>40</v>
      </c>
      <c r="R105" s="162" t="s">
        <v>27</v>
      </c>
      <c r="S105" s="159">
        <v>37</v>
      </c>
      <c r="T105" s="164">
        <f t="shared" si="9"/>
        <v>2</v>
      </c>
      <c r="U105" s="162" t="s">
        <v>27</v>
      </c>
      <c r="V105" s="165">
        <f t="shared" si="10"/>
        <v>0</v>
      </c>
      <c r="W105" s="166"/>
      <c r="X105" s="162" t="s">
        <v>53</v>
      </c>
      <c r="Y105" s="162" t="s">
        <v>53</v>
      </c>
      <c r="AA105" s="145" t="s">
        <v>88</v>
      </c>
      <c r="AB105" s="145">
        <v>18</v>
      </c>
      <c r="AC105" s="145" t="s">
        <v>40</v>
      </c>
    </row>
    <row r="106" spans="2:29" ht="12.75">
      <c r="B106" s="152">
        <f>+B102+1</f>
        <v>22</v>
      </c>
      <c r="C106" s="168">
        <f>+Daten!N25</f>
        <v>0.7256944444444449</v>
      </c>
      <c r="D106" s="152">
        <f t="shared" si="14"/>
        <v>81</v>
      </c>
      <c r="E106" s="152">
        <v>1</v>
      </c>
      <c r="F106" s="151" t="s">
        <v>20</v>
      </c>
      <c r="G106" s="152">
        <v>2</v>
      </c>
      <c r="H106" s="153" t="str">
        <f ca="1" t="shared" si="15"/>
        <v>MTV Eiche Schönebeck</v>
      </c>
      <c r="I106" s="157" t="s">
        <v>28</v>
      </c>
      <c r="J106" s="151" t="s">
        <v>20</v>
      </c>
      <c r="K106" s="152">
        <v>5</v>
      </c>
      <c r="L106" s="153" t="str">
        <f ca="1" t="shared" si="12"/>
        <v>TV Edingen</v>
      </c>
      <c r="M106" s="151" t="s">
        <v>20</v>
      </c>
      <c r="N106" s="152">
        <v>4</v>
      </c>
      <c r="O106" s="153" t="str">
        <f ca="1" t="shared" si="13"/>
        <v>TSV Radevormwald</v>
      </c>
      <c r="P106" s="169"/>
      <c r="Q106" s="152">
        <v>36</v>
      </c>
      <c r="R106" s="157" t="s">
        <v>27</v>
      </c>
      <c r="S106" s="152">
        <v>35</v>
      </c>
      <c r="T106" s="170">
        <f>IF(Q106="","",IF(Q106&gt;S106,2,IF(Q106&lt;S106,0,1)))</f>
        <v>2</v>
      </c>
      <c r="U106" s="157" t="s">
        <v>27</v>
      </c>
      <c r="V106" s="171">
        <f>IF(S106="","",IF(S106&gt;Q106,2,IF(S106&lt;Q106,0,1)))</f>
        <v>0</v>
      </c>
      <c r="W106" s="166"/>
      <c r="X106" s="157" t="s">
        <v>53</v>
      </c>
      <c r="Y106" s="157" t="s">
        <v>53</v>
      </c>
      <c r="AA106" s="145" t="s">
        <v>88</v>
      </c>
      <c r="AB106" s="145">
        <v>19</v>
      </c>
      <c r="AC106" s="145" t="s">
        <v>40</v>
      </c>
    </row>
    <row r="107" spans="2:29" ht="12.75">
      <c r="B107" s="152"/>
      <c r="C107" s="152"/>
      <c r="D107" s="152">
        <f t="shared" si="4"/>
        <v>82</v>
      </c>
      <c r="E107" s="152">
        <v>2</v>
      </c>
      <c r="F107" s="151" t="s">
        <v>20</v>
      </c>
      <c r="G107" s="152">
        <v>12</v>
      </c>
      <c r="H107" s="153" t="str">
        <f ca="1" t="shared" si="15"/>
        <v>VfL Hannover</v>
      </c>
      <c r="I107" s="157" t="s">
        <v>28</v>
      </c>
      <c r="J107" s="151" t="s">
        <v>20</v>
      </c>
      <c r="K107" s="152">
        <v>15</v>
      </c>
      <c r="L107" s="153" t="str">
        <f ca="1" t="shared" si="12"/>
        <v>SKG Ober Ramstadt</v>
      </c>
      <c r="M107" s="151" t="s">
        <v>20</v>
      </c>
      <c r="N107" s="152">
        <v>14</v>
      </c>
      <c r="O107" s="153" t="str">
        <f ca="1" t="shared" si="13"/>
        <v>TV Oberschopfheim</v>
      </c>
      <c r="P107" s="169"/>
      <c r="Q107" s="152">
        <v>37</v>
      </c>
      <c r="R107" s="157" t="s">
        <v>27</v>
      </c>
      <c r="S107" s="152">
        <v>38</v>
      </c>
      <c r="T107" s="170">
        <f>IF(Q107="","",IF(Q107&gt;S107,2,IF(Q107&lt;S107,0,1)))</f>
        <v>0</v>
      </c>
      <c r="U107" s="157" t="s">
        <v>27</v>
      </c>
      <c r="V107" s="171">
        <f>IF(S107="","",IF(S107&gt;Q107,2,IF(S107&lt;Q107,0,1)))</f>
        <v>2</v>
      </c>
      <c r="W107" s="166"/>
      <c r="X107" s="157" t="s">
        <v>53</v>
      </c>
      <c r="Y107" s="157" t="s">
        <v>53</v>
      </c>
      <c r="AA107" s="145" t="s">
        <v>88</v>
      </c>
      <c r="AB107" s="145">
        <v>19</v>
      </c>
      <c r="AC107" s="145" t="s">
        <v>40</v>
      </c>
    </row>
    <row r="108" spans="2:29" ht="12.75">
      <c r="B108" s="152"/>
      <c r="C108" s="152"/>
      <c r="D108" s="152">
        <f t="shared" si="4"/>
        <v>83</v>
      </c>
      <c r="E108" s="152">
        <v>3</v>
      </c>
      <c r="F108" s="158" t="s">
        <v>19</v>
      </c>
      <c r="G108" s="152">
        <v>2</v>
      </c>
      <c r="H108" s="153" t="str">
        <f ca="1" t="shared" si="15"/>
        <v>SV Werder Bremen</v>
      </c>
      <c r="I108" s="157" t="s">
        <v>28</v>
      </c>
      <c r="J108" s="158" t="s">
        <v>19</v>
      </c>
      <c r="K108" s="152">
        <v>5</v>
      </c>
      <c r="L108" s="153" t="str">
        <f ca="1" t="shared" si="12"/>
        <v>TSV Krumbach</v>
      </c>
      <c r="M108" s="158" t="s">
        <v>19</v>
      </c>
      <c r="N108" s="152">
        <v>4</v>
      </c>
      <c r="O108" s="153" t="str">
        <f ca="1" t="shared" si="13"/>
        <v>TV Kierdorf</v>
      </c>
      <c r="P108" s="169"/>
      <c r="Q108" s="152">
        <v>35</v>
      </c>
      <c r="R108" s="157" t="s">
        <v>27</v>
      </c>
      <c r="S108" s="152">
        <v>45</v>
      </c>
      <c r="T108" s="170">
        <f>IF(Q108="","",IF(Q108&gt;S108,2,IF(Q108&lt;S108,0,1)))</f>
        <v>0</v>
      </c>
      <c r="U108" s="157" t="s">
        <v>27</v>
      </c>
      <c r="V108" s="171">
        <f>IF(S108="","",IF(S108&gt;Q108,2,IF(S108&lt;Q108,0,1)))</f>
        <v>2</v>
      </c>
      <c r="W108" s="166"/>
      <c r="X108" s="157" t="s">
        <v>53</v>
      </c>
      <c r="Y108" s="157" t="s">
        <v>53</v>
      </c>
      <c r="AA108" s="145" t="s">
        <v>88</v>
      </c>
      <c r="AB108" s="145">
        <v>20</v>
      </c>
      <c r="AC108" s="145" t="s">
        <v>40</v>
      </c>
    </row>
    <row r="109" spans="2:29" ht="12.75">
      <c r="B109" s="159"/>
      <c r="C109" s="159"/>
      <c r="D109" s="159">
        <f>+D108+1</f>
        <v>84</v>
      </c>
      <c r="E109" s="159">
        <v>4</v>
      </c>
      <c r="F109" s="160" t="s">
        <v>19</v>
      </c>
      <c r="G109" s="159">
        <v>12</v>
      </c>
      <c r="H109" s="161" t="str">
        <f ca="1" t="shared" si="15"/>
        <v>VfK 1901 Berlin</v>
      </c>
      <c r="I109" s="162" t="s">
        <v>28</v>
      </c>
      <c r="J109" s="160" t="s">
        <v>19</v>
      </c>
      <c r="K109" s="159">
        <v>15</v>
      </c>
      <c r="L109" s="161" t="str">
        <f ca="1" t="shared" si="12"/>
        <v>SKG Ober Ramstadt</v>
      </c>
      <c r="M109" s="160" t="s">
        <v>19</v>
      </c>
      <c r="N109" s="159">
        <v>14</v>
      </c>
      <c r="O109" s="161" t="str">
        <f ca="1" t="shared" si="13"/>
        <v>SV Prag Stuttgart</v>
      </c>
      <c r="P109" s="163"/>
      <c r="Q109" s="159">
        <v>37</v>
      </c>
      <c r="R109" s="162" t="s">
        <v>27</v>
      </c>
      <c r="S109" s="159">
        <v>33</v>
      </c>
      <c r="T109" s="164">
        <f>IF(Q109="","",IF(Q109&gt;S109,2,IF(Q109&lt;S109,0,1)))</f>
        <v>2</v>
      </c>
      <c r="U109" s="162" t="s">
        <v>27</v>
      </c>
      <c r="V109" s="165">
        <f>IF(S109="","",IF(S109&gt;Q109,2,IF(S109&lt;Q109,0,1)))</f>
        <v>0</v>
      </c>
      <c r="W109" s="166"/>
      <c r="X109" s="162" t="s">
        <v>53</v>
      </c>
      <c r="Y109" s="162" t="s">
        <v>53</v>
      </c>
      <c r="AA109" s="145" t="s">
        <v>88</v>
      </c>
      <c r="AB109" s="145">
        <v>20</v>
      </c>
      <c r="AC109" s="145" t="s">
        <v>40</v>
      </c>
    </row>
    <row r="110" spans="1:29" ht="12.75">
      <c r="A110" s="145" t="s">
        <v>105</v>
      </c>
      <c r="B110" s="152">
        <f>+B106+1</f>
        <v>23</v>
      </c>
      <c r="C110" s="168">
        <f>+Daten!N26</f>
        <v>0.743055555555556</v>
      </c>
      <c r="D110" s="152">
        <f t="shared" si="4"/>
        <v>85</v>
      </c>
      <c r="E110" s="152">
        <v>1</v>
      </c>
      <c r="F110" s="151" t="s">
        <v>20</v>
      </c>
      <c r="G110" s="152">
        <v>4</v>
      </c>
      <c r="H110" s="153" t="str">
        <f ca="1">IF($S$106="","4. Gruppe G",INDIRECT(ADDRESS(MATCH(G110,$A$1:$A$19,0),MATCH(A110,$A$3:$AE$3,0))))</f>
        <v>VfK 1901 Berlin</v>
      </c>
      <c r="I110" s="157" t="s">
        <v>28</v>
      </c>
      <c r="J110" s="151" t="s">
        <v>20</v>
      </c>
      <c r="K110" s="152">
        <v>15</v>
      </c>
      <c r="L110" s="153" t="str">
        <f ca="1">IF($S$107="","5. Gruppe H",INDIRECT(ADDRESS(MATCH(K110,$A$1:$A$19,0),MATCH(A110,$A$3:$AE$3,0))))</f>
        <v>TV Grohn</v>
      </c>
      <c r="M110" s="151" t="s">
        <v>20</v>
      </c>
      <c r="N110" s="152">
        <v>13</v>
      </c>
      <c r="O110" s="153" t="str">
        <f ca="1">IF($S$107="","3. Gruppe H",INDIRECT(ADDRESS(MATCH(N110,$A$1:$A$19,0),MATCH(A110,$A$3:$AE$3,0))))</f>
        <v>SKG Ober Ramstadt</v>
      </c>
      <c r="P110" s="169"/>
      <c r="Q110" s="152">
        <v>37</v>
      </c>
      <c r="R110" s="157" t="s">
        <v>27</v>
      </c>
      <c r="S110" s="152">
        <v>48</v>
      </c>
      <c r="T110" s="170">
        <f t="shared" si="9"/>
        <v>0</v>
      </c>
      <c r="U110" s="157" t="s">
        <v>27</v>
      </c>
      <c r="V110" s="171">
        <f t="shared" si="10"/>
        <v>2</v>
      </c>
      <c r="W110" s="166"/>
      <c r="X110" s="157" t="s">
        <v>53</v>
      </c>
      <c r="Y110" s="157" t="s">
        <v>53</v>
      </c>
      <c r="AA110" s="145" t="s">
        <v>93</v>
      </c>
      <c r="AB110" s="145">
        <v>1</v>
      </c>
      <c r="AC110" s="145" t="s">
        <v>107</v>
      </c>
    </row>
    <row r="111" spans="1:29" ht="12.75">
      <c r="A111" s="145" t="s">
        <v>105</v>
      </c>
      <c r="B111" s="152"/>
      <c r="C111" s="152"/>
      <c r="D111" s="152">
        <f t="shared" si="4"/>
        <v>86</v>
      </c>
      <c r="E111" s="152">
        <v>2</v>
      </c>
      <c r="F111" s="151" t="s">
        <v>20</v>
      </c>
      <c r="G111" s="152">
        <v>14</v>
      </c>
      <c r="H111" s="153" t="str">
        <f ca="1">IF($S$107="","4. Gruppe H",INDIRECT(ADDRESS(MATCH(G111,$A$1:$A$19,0),MATCH(A111,$A$3:$AE$3,0))))</f>
        <v>TV Oberschopfheim</v>
      </c>
      <c r="I111" s="154" t="s">
        <v>28</v>
      </c>
      <c r="J111" s="151" t="s">
        <v>20</v>
      </c>
      <c r="K111" s="152">
        <v>5</v>
      </c>
      <c r="L111" s="153">
        <f ca="1">IF($S$106="","5. Gruppe G",INDIRECT(ADDRESS(MATCH(K111,$A$1:$A$19,0),MATCH(A111,$A$3:$AE$3,0))))</f>
        <v>0</v>
      </c>
      <c r="M111" s="151" t="s">
        <v>20</v>
      </c>
      <c r="N111" s="152">
        <v>3</v>
      </c>
      <c r="O111" s="153" t="str">
        <f ca="1">IF($S$106="","3. Gruppe G",INDIRECT(ADDRESS(MATCH(N111,$A$1:$A$19,0),MATCH(A111,$A$3:$AE$3,0))))</f>
        <v>TV Edingen</v>
      </c>
      <c r="P111" s="169"/>
      <c r="Q111" s="152">
        <v>30</v>
      </c>
      <c r="R111" s="157" t="s">
        <v>27</v>
      </c>
      <c r="S111" s="152">
        <v>15</v>
      </c>
      <c r="T111" s="170">
        <f t="shared" si="9"/>
        <v>2</v>
      </c>
      <c r="U111" s="157" t="s">
        <v>27</v>
      </c>
      <c r="V111" s="171">
        <f t="shared" si="10"/>
        <v>0</v>
      </c>
      <c r="W111" s="166"/>
      <c r="X111" s="157" t="s">
        <v>53</v>
      </c>
      <c r="Y111" s="157" t="s">
        <v>53</v>
      </c>
      <c r="AA111" s="145" t="s">
        <v>93</v>
      </c>
      <c r="AB111" s="145">
        <v>1</v>
      </c>
      <c r="AC111" s="145" t="s">
        <v>107</v>
      </c>
    </row>
    <row r="112" spans="1:29" ht="12.75">
      <c r="A112" s="145" t="s">
        <v>102</v>
      </c>
      <c r="B112" s="152"/>
      <c r="C112" s="152"/>
      <c r="D112" s="152">
        <f t="shared" si="4"/>
        <v>87</v>
      </c>
      <c r="E112" s="152">
        <v>3</v>
      </c>
      <c r="F112" s="158" t="s">
        <v>19</v>
      </c>
      <c r="G112" s="152">
        <v>4</v>
      </c>
      <c r="H112" s="153" t="str">
        <f ca="1">IF($S$108="","4. Gruppe E",INDIRECT(ADDRESS(MATCH(G112,$A$1:$A$19,0),MATCH(A112,$A$3:$AF$3,0))))</f>
        <v>SV Werder Bremen</v>
      </c>
      <c r="I112" s="157" t="s">
        <v>28</v>
      </c>
      <c r="J112" s="158" t="s">
        <v>19</v>
      </c>
      <c r="K112" s="152">
        <v>15</v>
      </c>
      <c r="L112" s="153" t="str">
        <f ca="1">IF($S$109="","5. Gruppe F",INDIRECT(ADDRESS(MATCH(K112,$A$1:$A$19,0),MATCH(A112,$A$3:$AF$3,0))))</f>
        <v>SKG Ober Ramstadt</v>
      </c>
      <c r="M112" s="158" t="s">
        <v>19</v>
      </c>
      <c r="N112" s="152">
        <v>13</v>
      </c>
      <c r="O112" s="153" t="str">
        <f ca="1">IF($S$109="","3. Gruppe F",INDIRECT(ADDRESS(MATCH(N112,$A$1:$A$19,0),MATCH(A112,$A$3:$AF$3,0))))</f>
        <v>VfK 1901 Berlin</v>
      </c>
      <c r="P112" s="169"/>
      <c r="Q112" s="152">
        <v>37</v>
      </c>
      <c r="R112" s="157" t="s">
        <v>27</v>
      </c>
      <c r="S112" s="152">
        <v>41</v>
      </c>
      <c r="T112" s="170">
        <f t="shared" si="9"/>
        <v>0</v>
      </c>
      <c r="U112" s="157" t="s">
        <v>27</v>
      </c>
      <c r="V112" s="171">
        <f t="shared" si="10"/>
        <v>2</v>
      </c>
      <c r="W112" s="166"/>
      <c r="X112" s="157" t="s">
        <v>53</v>
      </c>
      <c r="Y112" s="157" t="s">
        <v>53</v>
      </c>
      <c r="AA112" s="145" t="s">
        <v>93</v>
      </c>
      <c r="AB112" s="145">
        <v>2</v>
      </c>
      <c r="AC112" s="145" t="s">
        <v>107</v>
      </c>
    </row>
    <row r="113" spans="1:29" ht="12.75">
      <c r="A113" s="145" t="s">
        <v>102</v>
      </c>
      <c r="B113" s="159"/>
      <c r="C113" s="159"/>
      <c r="D113" s="159">
        <f>+D112+1</f>
        <v>88</v>
      </c>
      <c r="E113" s="159">
        <v>4</v>
      </c>
      <c r="F113" s="160" t="s">
        <v>19</v>
      </c>
      <c r="G113" s="159">
        <v>14</v>
      </c>
      <c r="H113" s="161" t="str">
        <f ca="1">IF($S$109="","4. Gruppe F",INDIRECT(ADDRESS(MATCH(G113,$A$1:$A$19,0),MATCH(A113,$A$3:$AF$3,0))))</f>
        <v>SSC Dodesheide</v>
      </c>
      <c r="I113" s="162" t="s">
        <v>28</v>
      </c>
      <c r="J113" s="160" t="s">
        <v>19</v>
      </c>
      <c r="K113" s="159">
        <v>5</v>
      </c>
      <c r="L113" s="161" t="str">
        <f ca="1">IF($S$108="","5. Gruppe E",INDIRECT(ADDRESS(MATCH(K113,$A$1:$A$19,0),MATCH(A113,$A$3:$AF$3,0))))</f>
        <v>TB Hückeswagen</v>
      </c>
      <c r="M113" s="160" t="s">
        <v>19</v>
      </c>
      <c r="N113" s="159">
        <v>3</v>
      </c>
      <c r="O113" s="161" t="str">
        <f ca="1">IF($S$108="","3. Gruppe E",INDIRECT(ADDRESS(MATCH(N113,$A$1:$A$19,0),MATCH(A113,$A$3:$AF$3,0))))</f>
        <v>TV Kierdorf</v>
      </c>
      <c r="P113" s="163"/>
      <c r="Q113" s="159">
        <v>58</v>
      </c>
      <c r="R113" s="162" t="s">
        <v>27</v>
      </c>
      <c r="S113" s="159">
        <v>53</v>
      </c>
      <c r="T113" s="164">
        <f t="shared" si="9"/>
        <v>2</v>
      </c>
      <c r="U113" s="162" t="s">
        <v>27</v>
      </c>
      <c r="V113" s="165">
        <f t="shared" si="10"/>
        <v>0</v>
      </c>
      <c r="W113" s="166"/>
      <c r="X113" s="162" t="s">
        <v>53</v>
      </c>
      <c r="Y113" s="162" t="s">
        <v>53</v>
      </c>
      <c r="AA113" s="145" t="s">
        <v>93</v>
      </c>
      <c r="AB113" s="145">
        <v>2</v>
      </c>
      <c r="AC113" s="145" t="s">
        <v>107</v>
      </c>
    </row>
    <row r="114" spans="1:29" ht="12.75">
      <c r="A114" s="145" t="s">
        <v>105</v>
      </c>
      <c r="B114" s="152">
        <f>+B110+1</f>
        <v>24</v>
      </c>
      <c r="C114" s="168">
        <f>+Daten!N27</f>
        <v>0.7604166666666672</v>
      </c>
      <c r="D114" s="152">
        <f>+D113+1</f>
        <v>89</v>
      </c>
      <c r="E114" s="152">
        <v>1</v>
      </c>
      <c r="F114" s="151" t="s">
        <v>20</v>
      </c>
      <c r="G114" s="152"/>
      <c r="H114" s="153" t="str">
        <f>IF(T110="","Platz 9 / V. "&amp;D110,IF(T110=0,H110,L110))</f>
        <v>VfK 1901 Berlin</v>
      </c>
      <c r="I114" s="154" t="s">
        <v>28</v>
      </c>
      <c r="J114" s="151" t="s">
        <v>20</v>
      </c>
      <c r="K114" s="152"/>
      <c r="L114" s="153">
        <f>IF(T111="","V. "&amp;D111,IF(T111=0,H111,L111))</f>
        <v>0</v>
      </c>
      <c r="M114" s="151" t="s">
        <v>20</v>
      </c>
      <c r="N114" s="152">
        <v>12</v>
      </c>
      <c r="O114" s="153" t="str">
        <f ca="1">IF($S$107="","2. Gruppe H",INDIRECT(ADDRESS(MATCH(N114,$A$1:$A$19,0),MATCH(A114,$A$3:$AE$3,0))))</f>
        <v>TV Baden</v>
      </c>
      <c r="P114" s="169"/>
      <c r="Q114" s="152">
        <v>30</v>
      </c>
      <c r="R114" s="154" t="s">
        <v>27</v>
      </c>
      <c r="S114" s="152">
        <v>15</v>
      </c>
      <c r="T114" s="170">
        <f>IF(Q114="","",IF(Q114&gt;S114,2,IF(Q114&lt;S114,0,1)))</f>
        <v>2</v>
      </c>
      <c r="U114" s="157" t="s">
        <v>27</v>
      </c>
      <c r="V114" s="171">
        <f>IF(S114="","",IF(S114&gt;Q114,2,IF(S114&lt;Q114,0,1)))</f>
        <v>0</v>
      </c>
      <c r="W114" s="166"/>
      <c r="X114" s="157" t="s">
        <v>53</v>
      </c>
      <c r="Y114" s="157" t="s">
        <v>53</v>
      </c>
      <c r="AA114" s="3" t="s">
        <v>94</v>
      </c>
      <c r="AB114" s="145">
        <v>1</v>
      </c>
      <c r="AC114" s="145" t="s">
        <v>91</v>
      </c>
    </row>
    <row r="115" spans="1:29" ht="12.75">
      <c r="A115" s="145" t="s">
        <v>105</v>
      </c>
      <c r="B115" s="152"/>
      <c r="C115" s="152"/>
      <c r="D115" s="152">
        <f t="shared" si="4"/>
        <v>90</v>
      </c>
      <c r="E115" s="152">
        <v>2</v>
      </c>
      <c r="F115" s="151" t="s">
        <v>20</v>
      </c>
      <c r="G115" s="152"/>
      <c r="H115" s="153" t="str">
        <f>IF(T110="","Platz 7 / S. "&amp;D110,IF(T110=2,H110,L110))</f>
        <v>TV Grohn</v>
      </c>
      <c r="I115" s="157" t="s">
        <v>28</v>
      </c>
      <c r="J115" s="151" t="s">
        <v>20</v>
      </c>
      <c r="K115" s="152"/>
      <c r="L115" s="153" t="str">
        <f>IF(T111="","S. "&amp;D111,IF(T111=2,H111,L111))</f>
        <v>TV Oberschopfheim</v>
      </c>
      <c r="M115" s="151" t="s">
        <v>20</v>
      </c>
      <c r="N115" s="152">
        <v>2</v>
      </c>
      <c r="O115" s="153" t="str">
        <f ca="1">IF($S$106="","2. Gruppe G",INDIRECT(ADDRESS(MATCH(N115,$A$1:$A$19,0),MATCH(A115,$A$3:$AE$3,0))))</f>
        <v>MTV Eiche Schönebeck</v>
      </c>
      <c r="P115" s="169"/>
      <c r="Q115" s="152">
        <v>41</v>
      </c>
      <c r="R115" s="154" t="s">
        <v>27</v>
      </c>
      <c r="S115" s="152">
        <v>43</v>
      </c>
      <c r="T115" s="170">
        <f>IF(Q115="","",IF(Q115&gt;S115,2,IF(Q115&lt;S115,0,1)))</f>
        <v>0</v>
      </c>
      <c r="U115" s="157" t="s">
        <v>27</v>
      </c>
      <c r="V115" s="171">
        <f>IF(S115="","",IF(S115&gt;Q115,2,IF(S115&lt;Q115,0,1)))</f>
        <v>2</v>
      </c>
      <c r="W115" s="166"/>
      <c r="X115" s="157" t="s">
        <v>53</v>
      </c>
      <c r="Y115" s="157" t="s">
        <v>53</v>
      </c>
      <c r="AA115" s="3" t="s">
        <v>94</v>
      </c>
      <c r="AB115" s="145">
        <v>1</v>
      </c>
      <c r="AC115" s="145" t="s">
        <v>92</v>
      </c>
    </row>
    <row r="116" spans="1:29" ht="12.75">
      <c r="A116" s="145" t="s">
        <v>102</v>
      </c>
      <c r="B116" s="145"/>
      <c r="C116" s="145"/>
      <c r="D116" s="145">
        <f t="shared" si="4"/>
        <v>91</v>
      </c>
      <c r="E116" s="145">
        <v>3</v>
      </c>
      <c r="F116" s="158" t="s">
        <v>19</v>
      </c>
      <c r="G116" s="152"/>
      <c r="H116" s="153" t="str">
        <f>IF(T112="","Platz 9 / V. "&amp;D112,IF(T112=0,H112,L112))</f>
        <v>SV Werder Bremen</v>
      </c>
      <c r="I116" s="154" t="s">
        <v>28</v>
      </c>
      <c r="J116" s="158" t="s">
        <v>21</v>
      </c>
      <c r="K116" s="152"/>
      <c r="L116" s="153" t="str">
        <f>IF(T113="","V. "&amp;D113,IF(T113=0,H113,L113))</f>
        <v>TB Hückeswagen</v>
      </c>
      <c r="M116" s="158" t="s">
        <v>19</v>
      </c>
      <c r="N116" s="152">
        <v>12</v>
      </c>
      <c r="O116" s="153" t="str">
        <f ca="1">IF($S$109="","2. Gruppe F",INDIRECT(ADDRESS(MATCH(N116,$A$1:$A$19,0),MATCH(A116,$A$3:$AF$3,0))))</f>
        <v>SV Prag Stuttgart</v>
      </c>
      <c r="P116" s="169"/>
      <c r="Q116" s="145">
        <v>39</v>
      </c>
      <c r="R116" s="154" t="s">
        <v>27</v>
      </c>
      <c r="S116" s="145">
        <v>44</v>
      </c>
      <c r="T116" s="155">
        <f>IF(Q116="","",IF(Q116&gt;S116,2,IF(Q116&lt;S116,0,1)))</f>
        <v>0</v>
      </c>
      <c r="U116" s="154" t="s">
        <v>27</v>
      </c>
      <c r="V116" s="156">
        <f>IF(S116="","",IF(S116&gt;Q116,2,IF(S116&lt;Q116,0,1)))</f>
        <v>2</v>
      </c>
      <c r="X116" s="154" t="s">
        <v>53</v>
      </c>
      <c r="Y116" s="154" t="s">
        <v>53</v>
      </c>
      <c r="AA116" s="3" t="s">
        <v>94</v>
      </c>
      <c r="AB116" s="145">
        <v>2</v>
      </c>
      <c r="AC116" s="145" t="s">
        <v>91</v>
      </c>
    </row>
    <row r="117" spans="1:29" ht="12.75">
      <c r="A117" s="145" t="s">
        <v>102</v>
      </c>
      <c r="B117" s="159"/>
      <c r="C117" s="159"/>
      <c r="D117" s="159">
        <f t="shared" si="4"/>
        <v>92</v>
      </c>
      <c r="E117" s="159">
        <v>4</v>
      </c>
      <c r="F117" s="160" t="s">
        <v>19</v>
      </c>
      <c r="G117" s="159"/>
      <c r="H117" s="161" t="str">
        <f>IF(T112="","Platz 7 / S. "&amp;D112,IF(T112=2,H112,L112))</f>
        <v>SKG Ober Ramstadt</v>
      </c>
      <c r="I117" s="162" t="s">
        <v>28</v>
      </c>
      <c r="J117" s="160" t="s">
        <v>21</v>
      </c>
      <c r="K117" s="159"/>
      <c r="L117" s="161" t="str">
        <f>IF(T113="","S. "&amp;D113,IF(T113=2,H113,L113))</f>
        <v>SSC Dodesheide</v>
      </c>
      <c r="M117" s="160" t="s">
        <v>19</v>
      </c>
      <c r="N117" s="159">
        <v>2</v>
      </c>
      <c r="O117" s="161" t="str">
        <f ca="1">IF($S$108="","2. Gruppe E",INDIRECT(ADDRESS(MATCH(N117,$A$1:$A$19,0),MATCH(A117,$A$3:$AF$3,0))))</f>
        <v>TV Kleefeld</v>
      </c>
      <c r="P117" s="163"/>
      <c r="Q117" s="159">
        <v>29</v>
      </c>
      <c r="R117" s="162" t="s">
        <v>27</v>
      </c>
      <c r="S117" s="159">
        <v>38</v>
      </c>
      <c r="T117" s="164">
        <f>IF(Q117="","",IF(Q117&gt;S117,2,IF(Q117&lt;S117,0,1)))</f>
        <v>0</v>
      </c>
      <c r="U117" s="162" t="s">
        <v>27</v>
      </c>
      <c r="V117" s="165">
        <f>IF(S117="","",IF(S117&gt;Q117,2,IF(S117&lt;Q117,0,1)))</f>
        <v>2</v>
      </c>
      <c r="W117" s="166"/>
      <c r="X117" s="162" t="s">
        <v>53</v>
      </c>
      <c r="Y117" s="162" t="s">
        <v>53</v>
      </c>
      <c r="AA117" s="3" t="s">
        <v>94</v>
      </c>
      <c r="AB117" s="145">
        <v>2</v>
      </c>
      <c r="AC117" s="145" t="s">
        <v>92</v>
      </c>
    </row>
    <row r="118" ht="12.75">
      <c r="AB118" s="145"/>
    </row>
    <row r="119" ht="12.75">
      <c r="AB119" s="145"/>
    </row>
    <row r="120" ht="12.75">
      <c r="AB120" s="145"/>
    </row>
  </sheetData>
  <printOptions horizontalCentered="1" verticalCentered="1"/>
  <pageMargins left="0.3937007874015748" right="0.15748031496062992" top="0.1968503937007874" bottom="0.3937007874015748" header="0.7086614173228347" footer="0.5118110236220472"/>
  <pageSetup horizontalDpi="300" verticalDpi="300" orientation="portrait" paperSize="9" r:id="rId1"/>
  <rowBreaks count="1" manualBreakCount="1">
    <brk id="69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60"/>
  <sheetViews>
    <sheetView showGridLines="0" workbookViewId="0" topLeftCell="A29">
      <selection activeCell="B2" sqref="B2:V60"/>
    </sheetView>
  </sheetViews>
  <sheetFormatPr defaultColWidth="11.421875" defaultRowHeight="12.75" outlineLevelRow="1" outlineLevelCol="1"/>
  <cols>
    <col min="1" max="1" width="2.00390625" style="0" customWidth="1"/>
    <col min="2" max="2" width="6.8515625" style="0" customWidth="1"/>
    <col min="3" max="3" width="24.7109375" style="0" customWidth="1"/>
    <col min="4" max="4" width="4.00390625" style="0" customWidth="1"/>
    <col min="5" max="5" width="1.7109375" style="0" customWidth="1"/>
    <col min="6" max="7" width="4.00390625" style="0" customWidth="1"/>
    <col min="8" max="8" width="1.7109375" style="0" customWidth="1"/>
    <col min="9" max="10" width="4.00390625" style="0" customWidth="1"/>
    <col min="11" max="11" width="1.7109375" style="0" customWidth="1"/>
    <col min="12" max="13" width="4.00390625" style="0" customWidth="1"/>
    <col min="14" max="14" width="1.7109375" style="0" customWidth="1"/>
    <col min="15" max="16" width="4.00390625" style="0" customWidth="1"/>
    <col min="17" max="17" width="1.7109375" style="0" customWidth="1"/>
    <col min="18" max="19" width="4.00390625" style="0" customWidth="1"/>
    <col min="20" max="20" width="1.7109375" style="0" customWidth="1"/>
    <col min="21" max="21" width="4.00390625" style="0" customWidth="1"/>
    <col min="22" max="22" width="4.7109375" style="0" customWidth="1"/>
    <col min="23" max="23" width="6.57421875" style="0" hidden="1" customWidth="1" outlineLevel="1"/>
    <col min="24" max="24" width="4.00390625" style="0" customWidth="1" collapsed="1"/>
    <col min="25" max="25" width="4.8515625" style="0" customWidth="1"/>
    <col min="26" max="26" width="1.7109375" style="0" customWidth="1"/>
    <col min="27" max="28" width="4.00390625" style="0" customWidth="1"/>
    <col min="29" max="29" width="1.7109375" style="0" customWidth="1"/>
    <col min="30" max="30" width="4.00390625" style="0" customWidth="1"/>
  </cols>
  <sheetData>
    <row r="1" spans="1:22" ht="24.75" customHeight="1">
      <c r="A1" s="88"/>
      <c r="B1" s="89" t="str">
        <f>Daten!A1&amp;" "&amp;Daten!B1&amp;" "&amp;Daten!L1</f>
        <v>43. Deutsche Prellball Meisterschaften der Seniorinnen und Senioren 2006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21.75" customHeight="1">
      <c r="B2" s="125" t="s">
        <v>40</v>
      </c>
      <c r="C2" s="126"/>
      <c r="D2" s="57"/>
      <c r="E2" s="54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25" t="str">
        <f>+Daten!I11</f>
        <v>Frauen 30</v>
      </c>
      <c r="S2" s="127"/>
      <c r="T2" s="127"/>
      <c r="U2" s="127"/>
      <c r="V2" s="126"/>
    </row>
    <row r="3" spans="2:22" ht="6.75" customHeight="1">
      <c r="B3" s="55"/>
      <c r="C3" s="56"/>
      <c r="D3" s="57"/>
      <c r="E3" s="54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6"/>
      <c r="V3" s="56"/>
    </row>
    <row r="4" spans="2:29" ht="12.75" customHeight="1">
      <c r="B4" s="128"/>
      <c r="C4" s="129" t="str">
        <f>+Daten!I12</f>
        <v>Gruppe G</v>
      </c>
      <c r="D4" s="47"/>
      <c r="E4" s="48" t="str">
        <f>+C5</f>
        <v>VfK 1901 Berlin</v>
      </c>
      <c r="F4" s="49"/>
      <c r="G4" s="19"/>
      <c r="H4" s="48" t="str">
        <f>+C7</f>
        <v>MTV Eiche Schönebeck</v>
      </c>
      <c r="I4" s="20"/>
      <c r="J4" s="19"/>
      <c r="K4" s="48" t="str">
        <f>+C9</f>
        <v>3. West</v>
      </c>
      <c r="L4" s="20"/>
      <c r="M4" s="19"/>
      <c r="N4" s="48" t="str">
        <f>+C11</f>
        <v>TSV Radevormwald</v>
      </c>
      <c r="O4" s="20"/>
      <c r="P4" s="19"/>
      <c r="Q4" s="50" t="str">
        <f>+C13</f>
        <v>TV Edingen</v>
      </c>
      <c r="R4" s="20"/>
      <c r="S4" s="19"/>
      <c r="T4" s="51" t="s">
        <v>24</v>
      </c>
      <c r="U4" s="20"/>
      <c r="V4" s="52" t="s">
        <v>25</v>
      </c>
      <c r="AC4" s="61"/>
    </row>
    <row r="5" spans="2:28" ht="15" customHeight="1">
      <c r="B5" s="99" t="str">
        <f>IF(Daten!H13="","",Daten!H13)</f>
        <v>4.N</v>
      </c>
      <c r="C5" s="27" t="str">
        <f>IF(Daten!I13="","",Daten!I13)</f>
        <v>VfK 1901 Berlin</v>
      </c>
      <c r="D5" s="91"/>
      <c r="E5" s="92"/>
      <c r="F5" s="93"/>
      <c r="G5" s="30">
        <f>IF('Samstag Haupt'!$Q70="","",'Samstag Haupt'!$Q70)</f>
        <v>33</v>
      </c>
      <c r="H5" s="9" t="s">
        <v>27</v>
      </c>
      <c r="I5" s="31">
        <f>IF('Samstag Haupt'!$S70="","",'Samstag Haupt'!$S70)</f>
        <v>46</v>
      </c>
      <c r="J5" s="30">
        <f>IF('Samstag Haupt'!$Q90="","",'Samstag Haupt'!$Q90)</f>
      </c>
      <c r="K5" s="9" t="s">
        <v>27</v>
      </c>
      <c r="L5" s="31">
        <f>IF('Samstag Haupt'!$S90="","",'Samstag Haupt'!$S90)</f>
      </c>
      <c r="M5" s="30">
        <f>IF('Samstag Haupt'!$Q102="","",'Samstag Haupt'!$Q102)</f>
        <v>32</v>
      </c>
      <c r="N5" s="9" t="s">
        <v>27</v>
      </c>
      <c r="O5" s="31">
        <f>IF('Samstag Haupt'!$S102="","",'Samstag Haupt'!$S102)</f>
        <v>43</v>
      </c>
      <c r="P5" s="30">
        <f>IF('Samstag Haupt'!$Q78="","",'Samstag Haupt'!$Q78)</f>
        <v>35</v>
      </c>
      <c r="Q5" s="9" t="s">
        <v>27</v>
      </c>
      <c r="R5" s="31">
        <f>IF('Samstag Haupt'!$S78="","",'Samstag Haupt'!$S78)</f>
        <v>45</v>
      </c>
      <c r="S5" s="30">
        <f>IF(X6="","",SUM(D5,G5,J5,M5,P5))</f>
        <v>100</v>
      </c>
      <c r="T5" s="9" t="s">
        <v>27</v>
      </c>
      <c r="U5" s="31">
        <f>IF(X6="","",SUM(F5,I5,L5,O5,R5))</f>
        <v>134</v>
      </c>
      <c r="V5" s="26">
        <f>IF(X5="","",RANK(W6,($W$6,$W$8,$W$12,$W$14),0))</f>
        <v>4</v>
      </c>
      <c r="X5" s="11" t="s">
        <v>29</v>
      </c>
      <c r="AA5">
        <v>1</v>
      </c>
      <c r="AB5" s="90" t="str">
        <f>IF(V5="","",IF($V$5=1,$C$5,IF($V$7=1,$C$7,IF($V$9=1,$C$9,IF($V$11=1,$C$11,IF($V$13=1,$C$13,0))))))</f>
        <v>TSV Radevormwald</v>
      </c>
    </row>
    <row r="6" spans="2:28" ht="10.5" customHeight="1">
      <c r="B6" s="100"/>
      <c r="C6" s="28"/>
      <c r="D6" s="94"/>
      <c r="E6" s="95"/>
      <c r="F6" s="96"/>
      <c r="G6" s="13">
        <f>IF(G5="","",IF(G5&gt;I5,2,IF(G5&lt;I5,0,1)))</f>
        <v>0</v>
      </c>
      <c r="H6" s="7" t="s">
        <v>28</v>
      </c>
      <c r="I6" s="14">
        <f>IF(I5="","",IF(I5&gt;G5,2,IF(I5&lt;G5,0,1)))</f>
        <v>2</v>
      </c>
      <c r="J6" s="13">
        <f>IF(J5="","",IF(J5&gt;L5,2,IF(J5&lt;L5,0,1)))</f>
      </c>
      <c r="K6" s="7" t="s">
        <v>28</v>
      </c>
      <c r="L6" s="14">
        <f>IF(L5="","",IF(L5&gt;J5,2,IF(L5&lt;J5,0,1)))</f>
      </c>
      <c r="M6" s="13">
        <f>IF(M5="","",IF(M5&gt;O5,2,IF(M5&lt;O5,0,1)))</f>
        <v>0</v>
      </c>
      <c r="N6" s="7" t="s">
        <v>28</v>
      </c>
      <c r="O6" s="14">
        <f>IF(O5="","",IF(O5&gt;M5,2,IF(O5&lt;M5,0,1)))</f>
        <v>2</v>
      </c>
      <c r="P6" s="13">
        <f>IF(P5="","",IF(P5&gt;R5,2,IF(P5&lt;R5,0,1)))</f>
        <v>0</v>
      </c>
      <c r="Q6" s="7" t="s">
        <v>28</v>
      </c>
      <c r="R6" s="14">
        <f>IF(R5="","",IF(R5&gt;P5,2,IF(R5&lt;P5,0,1)))</f>
        <v>2</v>
      </c>
      <c r="S6" s="13">
        <f>IF(X6="","",SUM(D6,G6,J6,M6,P6))</f>
        <v>0</v>
      </c>
      <c r="T6" s="7" t="s">
        <v>28</v>
      </c>
      <c r="U6" s="14">
        <f>IF(X6="","",SUM(F6,I6,L6,O6,R6))</f>
        <v>6</v>
      </c>
      <c r="V6" s="15"/>
      <c r="W6" s="16">
        <f>+(S6-U6)+S5/U5+S6</f>
        <v>-5.253731343283582</v>
      </c>
      <c r="X6" s="11" t="s">
        <v>29</v>
      </c>
      <c r="AB6" s="90"/>
    </row>
    <row r="7" spans="2:28" ht="15" customHeight="1">
      <c r="B7" s="46" t="str">
        <f>IF(Daten!H14="","",Daten!H14)</f>
        <v>2.N</v>
      </c>
      <c r="C7" s="27" t="str">
        <f>IF(Daten!I14="","",Daten!I14)</f>
        <v>MTV Eiche Schönebeck</v>
      </c>
      <c r="D7" s="30">
        <f>IF(I5="","",I5)</f>
        <v>46</v>
      </c>
      <c r="E7" s="9" t="s">
        <v>27</v>
      </c>
      <c r="F7" s="31">
        <f>IF(G5="","",G5)</f>
        <v>33</v>
      </c>
      <c r="G7" s="91"/>
      <c r="H7" s="92"/>
      <c r="I7" s="93"/>
      <c r="J7" s="30">
        <f>IF('Samstag Haupt'!$Q82="","",'Samstag Haupt'!$Q82)</f>
      </c>
      <c r="K7" s="9" t="s">
        <v>27</v>
      </c>
      <c r="L7" s="31">
        <f>IF('Samstag Haupt'!$S82="","",'Samstag Haupt'!$S82)</f>
      </c>
      <c r="M7" s="30">
        <f>IF('Samstag Haupt'!$Q94="","",'Samstag Haupt'!$Q94)</f>
        <v>32</v>
      </c>
      <c r="N7" s="9" t="s">
        <v>27</v>
      </c>
      <c r="O7" s="31">
        <f>IF('Samstag Haupt'!$S94="","",'Samstag Haupt'!$S94)</f>
        <v>40</v>
      </c>
      <c r="P7" s="30">
        <f>IF('Samstag Haupt'!$Q106="","",'Samstag Haupt'!$Q106)</f>
        <v>36</v>
      </c>
      <c r="Q7" s="9" t="s">
        <v>27</v>
      </c>
      <c r="R7" s="31">
        <f>IF('Samstag Haupt'!$S106="","",'Samstag Haupt'!$S106)</f>
        <v>35</v>
      </c>
      <c r="S7" s="8">
        <f>IF(X8="","",SUM(D7,G7,J7,M7,P7))</f>
        <v>114</v>
      </c>
      <c r="T7" s="9" t="s">
        <v>27</v>
      </c>
      <c r="U7" s="10">
        <f>IF(X8="","",SUM(F7,I7,L7,O7,R7))</f>
        <v>108</v>
      </c>
      <c r="V7" s="26">
        <f>IF(X7="","",RANK(W8,($W$6,$W$8,$W$12,$W$14),0))</f>
        <v>2</v>
      </c>
      <c r="X7" s="11" t="s">
        <v>29</v>
      </c>
      <c r="AA7">
        <v>2</v>
      </c>
      <c r="AB7" s="90" t="str">
        <f>IF(V7="","",IF($V$5=2,$C$5,IF($V$7=2,$C$7,IF($V$9=2,$C$9,IF($V$11=2,$C$11,IF($V$13=2,$C$13,0))))))</f>
        <v>MTV Eiche Schönebeck</v>
      </c>
    </row>
    <row r="8" spans="2:28" ht="10.5" customHeight="1">
      <c r="B8" s="100"/>
      <c r="C8" s="28"/>
      <c r="D8" s="13">
        <f>IF(D7="","",IF(D7&gt;F7,2,IF(D7&lt;F7,0,1)))</f>
        <v>2</v>
      </c>
      <c r="E8" s="7" t="s">
        <v>28</v>
      </c>
      <c r="F8" s="14">
        <f>IF(F7="","",IF(F7&gt;D7,2,IF(F7&lt;D7,0,1)))</f>
        <v>0</v>
      </c>
      <c r="G8" s="94"/>
      <c r="H8" s="95"/>
      <c r="I8" s="96"/>
      <c r="J8" s="13">
        <f>IF(J7="","",IF(J7&gt;L7,2,IF(J7&lt;L7,0,1)))</f>
      </c>
      <c r="K8" s="7" t="s">
        <v>28</v>
      </c>
      <c r="L8" s="14">
        <f>IF(L7="","",IF(L7&gt;J7,2,IF(L7&lt;J7,0,1)))</f>
      </c>
      <c r="M8" s="13">
        <f>IF(M7="","",IF(M7&gt;O7,2,IF(M7&lt;O7,0,1)))</f>
        <v>0</v>
      </c>
      <c r="N8" s="7" t="s">
        <v>28</v>
      </c>
      <c r="O8" s="14">
        <f>IF(O7="","",IF(O7&gt;M7,2,IF(O7&lt;M7,0,1)))</f>
        <v>2</v>
      </c>
      <c r="P8" s="13">
        <f>IF(P7="","",IF(P7&gt;R7,2,IF(P7&lt;R7,0,1)))</f>
        <v>2</v>
      </c>
      <c r="Q8" s="7" t="s">
        <v>28</v>
      </c>
      <c r="R8" s="14">
        <f>IF(R7="","",IF(R7&gt;P7,2,IF(R7&lt;P7,0,1)))</f>
        <v>0</v>
      </c>
      <c r="S8" s="13">
        <f>IF(X8="","",SUM(D8,G8,J8,M8,P8))</f>
        <v>4</v>
      </c>
      <c r="T8" s="7" t="s">
        <v>28</v>
      </c>
      <c r="U8" s="14">
        <f>IF(X8="","",SUM(F8,I8,L8,O8,R8))</f>
        <v>2</v>
      </c>
      <c r="V8" s="15"/>
      <c r="W8" s="16">
        <f>+(S8-U8)+S7/U7+S8</f>
        <v>7.055555555555555</v>
      </c>
      <c r="X8" s="11" t="s">
        <v>29</v>
      </c>
      <c r="AB8" s="90"/>
    </row>
    <row r="9" spans="2:28" ht="15" customHeight="1">
      <c r="B9" s="46" t="str">
        <f>IF(Daten!H15="","",Daten!H15)</f>
        <v>3.W</v>
      </c>
      <c r="C9" s="27" t="str">
        <f>IF(Daten!I15="","",Daten!I15)</f>
        <v>3. West</v>
      </c>
      <c r="D9" s="30">
        <f>IF(L5="","",L5)</f>
      </c>
      <c r="E9" s="9" t="s">
        <v>27</v>
      </c>
      <c r="F9" s="31">
        <f>IF(J5="","",J5)</f>
      </c>
      <c r="G9" s="30">
        <f>IF(L7="","",L7)</f>
      </c>
      <c r="H9" s="9" t="s">
        <v>27</v>
      </c>
      <c r="I9" s="31">
        <f>IF(J7="","",J7)</f>
      </c>
      <c r="J9" s="91"/>
      <c r="K9" s="92"/>
      <c r="L9" s="93"/>
      <c r="M9" s="30">
        <f>IF('Samstag Haupt'!$Q74="","",'Samstag Haupt'!$Q74)</f>
      </c>
      <c r="N9" s="9" t="s">
        <v>27</v>
      </c>
      <c r="O9" s="31">
        <f>IF('Samstag Haupt'!$S74="","",'Samstag Haupt'!$S74)</f>
      </c>
      <c r="P9" s="30">
        <f>IF('Samstag Haupt'!$Q98="","",'Samstag Haupt'!$Q98)</f>
      </c>
      <c r="Q9" s="9" t="s">
        <v>27</v>
      </c>
      <c r="R9" s="31">
        <f>IF('Samstag Haupt'!$S98="","",'Samstag Haupt'!$S98)</f>
      </c>
      <c r="S9" s="8">
        <f>IF(X10="","",SUM(D9,G9,J9,M9,P9))</f>
      </c>
      <c r="T9" s="9" t="s">
        <v>27</v>
      </c>
      <c r="U9" s="10">
        <f>IF(X10="","",SUM(F9,I9,L9,O9,R9))</f>
      </c>
      <c r="V9" s="6">
        <f>IF(X9="","",RANK(W10,($W$6,$W$8,$W$10,$W$12,$W$14),0))</f>
      </c>
      <c r="X9" s="11"/>
      <c r="AA9">
        <v>3</v>
      </c>
      <c r="AB9" s="90" t="str">
        <f>IF(V13="","",IF($V$5=3,$C$5,IF($V$7=3,$C$7,IF($V$9=3,$C$9,IF($V$11=3,$C$11,IF($V$13=3,$C$13,0))))))</f>
        <v>TV Edingen</v>
      </c>
    </row>
    <row r="10" spans="2:28" ht="10.5" customHeight="1">
      <c r="B10" s="101"/>
      <c r="C10" s="28"/>
      <c r="D10" s="13">
        <f>IF(D9="","",IF(D9&gt;F9,2,IF(D9&lt;F9,0,1)))</f>
      </c>
      <c r="E10" s="7" t="s">
        <v>28</v>
      </c>
      <c r="F10" s="14">
        <f>IF(F9="","",IF(F9&gt;D9,2,IF(F9&lt;D9,0,1)))</f>
      </c>
      <c r="G10" s="13">
        <f>IF(G9="","",IF(G9&gt;I9,2,IF(G9&lt;I9,0,1)))</f>
      </c>
      <c r="H10" s="7" t="s">
        <v>28</v>
      </c>
      <c r="I10" s="14">
        <f>IF(I9="","",IF(I9&gt;G9,2,IF(I9&lt;G9,0,1)))</f>
      </c>
      <c r="J10" s="94"/>
      <c r="K10" s="95"/>
      <c r="L10" s="96"/>
      <c r="M10" s="13">
        <f>IF(M9="","",IF(M9&gt;O9,2,IF(M9&lt;O9,0,1)))</f>
      </c>
      <c r="N10" s="7" t="s">
        <v>28</v>
      </c>
      <c r="O10" s="14">
        <f>IF(O9="","",IF(O9&gt;M9,2,IF(O9&lt;M9,0,1)))</f>
      </c>
      <c r="P10" s="13">
        <f>IF(P9="","",IF(P9&gt;R9,2,IF(P9&lt;R9,0,1)))</f>
      </c>
      <c r="Q10" s="7" t="s">
        <v>28</v>
      </c>
      <c r="R10" s="14">
        <f>IF(R9="","",IF(R9&gt;P9,2,IF(R9&lt;P9,0,1)))</f>
      </c>
      <c r="S10" s="13">
        <f>IF(X10="","",SUM(D10,G10,J10,M10,P10))</f>
      </c>
      <c r="T10" s="7" t="s">
        <v>28</v>
      </c>
      <c r="U10" s="14">
        <f>IF(X10="","",SUM(F10,I10,L10,O10,R10))</f>
      </c>
      <c r="V10" s="15"/>
      <c r="W10" s="16" t="e">
        <f>+(S10-U10)+S9/U9+S10</f>
        <v>#VALUE!</v>
      </c>
      <c r="X10" s="11"/>
      <c r="AB10" s="90"/>
    </row>
    <row r="11" spans="2:28" ht="15" customHeight="1">
      <c r="B11" s="46" t="str">
        <f>IF(Daten!H16="","",Daten!H16)</f>
        <v>1.W</v>
      </c>
      <c r="C11" s="27" t="str">
        <f>IF(Daten!I16="","",Daten!I16)</f>
        <v>TSV Radevormwald</v>
      </c>
      <c r="D11" s="30">
        <f>IF(O5="","",O5)</f>
        <v>43</v>
      </c>
      <c r="E11" s="9" t="s">
        <v>27</v>
      </c>
      <c r="F11" s="31">
        <f>IF(M5="","",M5)</f>
        <v>32</v>
      </c>
      <c r="G11" s="30">
        <f>IF(O7="","",O7)</f>
        <v>40</v>
      </c>
      <c r="H11" s="9" t="s">
        <v>27</v>
      </c>
      <c r="I11" s="31">
        <f>IF(M7="","",M7)</f>
        <v>32</v>
      </c>
      <c r="J11" s="30">
        <f>IF(O9="","",O9)</f>
      </c>
      <c r="K11" s="9" t="s">
        <v>27</v>
      </c>
      <c r="L11" s="31">
        <f>IF(M9="","",M9)</f>
      </c>
      <c r="M11" s="91"/>
      <c r="N11" s="92"/>
      <c r="O11" s="93"/>
      <c r="P11" s="30">
        <f>IF('Samstag Haupt'!$Q86="","",'Samstag Haupt'!$Q86)</f>
        <v>41</v>
      </c>
      <c r="Q11" s="9" t="s">
        <v>27</v>
      </c>
      <c r="R11" s="31">
        <f>IF('Samstag Haupt'!$S86="","",'Samstag Haupt'!$S86)</f>
        <v>37</v>
      </c>
      <c r="S11" s="8">
        <f>IF(X12="","",SUM(D11,G11,J11,M11,P11))</f>
        <v>124</v>
      </c>
      <c r="T11" s="9" t="s">
        <v>27</v>
      </c>
      <c r="U11" s="10">
        <f>IF(X12="","",SUM(F11,I11,L11,O11,R11))</f>
        <v>101</v>
      </c>
      <c r="V11" s="6">
        <f>IF(X11="","",RANK(W12,($W$6,$W$8,$W$12,$W$14),0))</f>
        <v>1</v>
      </c>
      <c r="X11" s="11" t="s">
        <v>29</v>
      </c>
      <c r="AA11">
        <v>4</v>
      </c>
      <c r="AB11" s="90" t="str">
        <f>IF(V11="","",IF($V$5=4,$C$5,IF($V$7=4,$C$7,IF($V$9=4,$C$9,IF($V$11=4,$C$11,IF($V$13=4,$C$13,0))))))</f>
        <v>VfK 1901 Berlin</v>
      </c>
    </row>
    <row r="12" spans="2:28" ht="10.5" customHeight="1">
      <c r="B12" s="101"/>
      <c r="C12" s="28"/>
      <c r="D12" s="13">
        <f>IF(D11="","",IF(D11&gt;F11,2,IF(D11&lt;F11,0,1)))</f>
        <v>2</v>
      </c>
      <c r="E12" s="7" t="s">
        <v>28</v>
      </c>
      <c r="F12" s="14">
        <f>IF(F11="","",IF(F11&gt;D11,2,IF(F11&lt;D11,0,1)))</f>
        <v>0</v>
      </c>
      <c r="G12" s="13">
        <f>IF(G11="","",IF(G11&gt;I11,2,IF(G11&lt;I11,0,1)))</f>
        <v>2</v>
      </c>
      <c r="H12" s="7" t="s">
        <v>28</v>
      </c>
      <c r="I12" s="14">
        <f>IF(I11="","",IF(I11&gt;G11,2,IF(I11&lt;G11,0,1)))</f>
        <v>0</v>
      </c>
      <c r="J12" s="13">
        <f>IF(J11="","",IF(J11&gt;L11,2,IF(J11&lt;L11,0,1)))</f>
      </c>
      <c r="K12" s="7" t="s">
        <v>28</v>
      </c>
      <c r="L12" s="14">
        <f>IF(L11="","",IF(L11&gt;J11,2,IF(L11&lt;J11,0,1)))</f>
      </c>
      <c r="M12" s="94"/>
      <c r="N12" s="95"/>
      <c r="O12" s="96"/>
      <c r="P12" s="13">
        <f>IF(P11="","",IF(P11&gt;R11,2,IF(P11&lt;R11,0,1)))</f>
        <v>2</v>
      </c>
      <c r="Q12" s="7" t="s">
        <v>28</v>
      </c>
      <c r="R12" s="14">
        <f>IF(R11="","",IF(R11&gt;P11,2,IF(R11&lt;P11,0,1)))</f>
        <v>0</v>
      </c>
      <c r="S12" s="13">
        <f>IF(X12="","",SUM(D12,G12,J12,M12,P12))</f>
        <v>6</v>
      </c>
      <c r="T12" s="7" t="s">
        <v>28</v>
      </c>
      <c r="U12" s="14">
        <f>IF(X12="","",SUM(F12,I12,L12,O12,R12))</f>
        <v>0</v>
      </c>
      <c r="V12" s="15"/>
      <c r="W12" s="16">
        <f>+(S12-U12)+S11/U11+S12</f>
        <v>13.227722772277229</v>
      </c>
      <c r="X12" s="11" t="s">
        <v>29</v>
      </c>
      <c r="AB12" s="90"/>
    </row>
    <row r="13" spans="2:28" ht="15" customHeight="1">
      <c r="B13" s="46" t="str">
        <f>IF(Daten!H17="","",Daten!H17)</f>
        <v>1.S</v>
      </c>
      <c r="C13" s="27" t="str">
        <f>IF(Daten!I17="","",Daten!I17)</f>
        <v>TV Edingen</v>
      </c>
      <c r="D13" s="30">
        <f>IF(R5="","",R5)</f>
        <v>45</v>
      </c>
      <c r="E13" s="9" t="s">
        <v>27</v>
      </c>
      <c r="F13" s="31">
        <f>IF(P5="","",P5)</f>
        <v>35</v>
      </c>
      <c r="G13" s="30">
        <f>IF(R7="","",R7)</f>
        <v>35</v>
      </c>
      <c r="H13" s="9" t="s">
        <v>27</v>
      </c>
      <c r="I13" s="31">
        <f>IF(P7="","",P7)</f>
        <v>36</v>
      </c>
      <c r="J13" s="30">
        <f>IF(R9="","",R9)</f>
      </c>
      <c r="K13" s="9" t="s">
        <v>27</v>
      </c>
      <c r="L13" s="31">
        <f>IF(P9="","",P9)</f>
      </c>
      <c r="M13" s="30">
        <f>IF(R11="","",R11)</f>
        <v>37</v>
      </c>
      <c r="N13" s="9" t="s">
        <v>27</v>
      </c>
      <c r="O13" s="31">
        <f>IF(P11="","",P11)</f>
        <v>41</v>
      </c>
      <c r="P13" s="91"/>
      <c r="Q13" s="92"/>
      <c r="R13" s="93"/>
      <c r="S13" s="8">
        <f>IF(X14="","",SUM(D13,G13,J13,M13,P13))</f>
        <v>117</v>
      </c>
      <c r="T13" s="9" t="s">
        <v>27</v>
      </c>
      <c r="U13" s="10">
        <f>IF(X14="","",SUM(F13,I13,L13,O13,R13))</f>
        <v>112</v>
      </c>
      <c r="V13" s="26">
        <f>IF(X13="","",RANK(W14,($W$6,$W$8,$W$12,$W$14),0))</f>
        <v>3</v>
      </c>
      <c r="X13" s="11" t="s">
        <v>29</v>
      </c>
      <c r="AA13" s="11">
        <v>5</v>
      </c>
      <c r="AB13" s="90"/>
    </row>
    <row r="14" spans="2:24" ht="10.5" customHeight="1">
      <c r="B14" s="101"/>
      <c r="C14" s="29"/>
      <c r="D14" s="13">
        <f>IF(D13="","",IF(D13&gt;F13,2,IF(D13&lt;F13,0,1)))</f>
        <v>2</v>
      </c>
      <c r="E14" s="7" t="s">
        <v>28</v>
      </c>
      <c r="F14" s="14">
        <f>IF(F13="","",IF(F13&gt;D13,2,IF(F13&lt;D13,0,1)))</f>
        <v>0</v>
      </c>
      <c r="G14" s="13">
        <f>IF(G13="","",IF(G13&gt;I13,2,IF(G13&lt;I13,0,1)))</f>
        <v>0</v>
      </c>
      <c r="H14" s="7" t="s">
        <v>28</v>
      </c>
      <c r="I14" s="14">
        <f>IF(I13="","",IF(I13&gt;G13,2,IF(I13&lt;G13,0,1)))</f>
        <v>2</v>
      </c>
      <c r="J14" s="13">
        <f>IF(J13="","",IF(J13&gt;L13,2,IF(J13&lt;L13,0,1)))</f>
      </c>
      <c r="K14" s="7" t="s">
        <v>28</v>
      </c>
      <c r="L14" s="14">
        <f>IF(L13="","",IF(L13&gt;J13,2,IF(L13&lt;J13,0,1)))</f>
      </c>
      <c r="M14" s="13">
        <f>IF(M13="","",IF(M13&gt;O13,2,IF(M13&lt;O13,0,1)))</f>
        <v>0</v>
      </c>
      <c r="N14" s="7" t="s">
        <v>28</v>
      </c>
      <c r="O14" s="14">
        <f>IF(O13="","",IF(O13&gt;M13,2,IF(O13&lt;M13,0,1)))</f>
        <v>2</v>
      </c>
      <c r="P14" s="94"/>
      <c r="Q14" s="95"/>
      <c r="R14" s="96"/>
      <c r="S14" s="13">
        <f>IF(X14="","",SUM(D14,G14,J14,M14,P14))</f>
        <v>2</v>
      </c>
      <c r="T14" s="7" t="s">
        <v>28</v>
      </c>
      <c r="U14" s="14">
        <f>IF(X14="","",SUM(F14,I14,L14,O14,R14))</f>
        <v>4</v>
      </c>
      <c r="V14" s="15"/>
      <c r="W14" s="16">
        <f>+(S14-U14)+S13/U13+S14</f>
        <v>1.0446428571428572</v>
      </c>
      <c r="X14" s="11" t="s">
        <v>29</v>
      </c>
    </row>
    <row r="15" spans="2:24" ht="9.75" customHeight="1">
      <c r="B15" s="41"/>
      <c r="C15" s="41"/>
      <c r="D15" s="42"/>
      <c r="E15" s="9"/>
      <c r="F15" s="43"/>
      <c r="G15" s="42"/>
      <c r="H15" s="9"/>
      <c r="I15" s="43"/>
      <c r="J15" s="42"/>
      <c r="K15" s="9"/>
      <c r="L15" s="43"/>
      <c r="M15" s="42"/>
      <c r="N15" s="9"/>
      <c r="O15" s="43"/>
      <c r="P15" s="18"/>
      <c r="Q15" s="18"/>
      <c r="R15" s="18"/>
      <c r="S15" s="42"/>
      <c r="T15" s="9"/>
      <c r="U15" s="43"/>
      <c r="V15" s="5"/>
      <c r="W15" s="16"/>
      <c r="X15" s="11"/>
    </row>
    <row r="16" spans="2:24" ht="9.75" customHeight="1" outlineLevel="1">
      <c r="B16" s="103" t="s">
        <v>30</v>
      </c>
      <c r="C16" s="32" t="str">
        <f>+C5</f>
        <v>VfK 1901 Berlin</v>
      </c>
      <c r="D16" s="33"/>
      <c r="E16" s="142"/>
      <c r="F16" s="34"/>
      <c r="G16" s="35"/>
      <c r="H16" s="36" t="s">
        <v>27</v>
      </c>
      <c r="I16" s="37"/>
      <c r="J16" s="35"/>
      <c r="K16" s="36" t="s">
        <v>27</v>
      </c>
      <c r="L16" s="37"/>
      <c r="M16" s="35"/>
      <c r="N16" s="36" t="s">
        <v>27</v>
      </c>
      <c r="O16" s="37"/>
      <c r="P16" s="38"/>
      <c r="Q16" s="36" t="s">
        <v>27</v>
      </c>
      <c r="R16" s="110"/>
      <c r="S16" s="22"/>
      <c r="T16" s="23"/>
      <c r="U16" s="24"/>
      <c r="V16" s="25"/>
      <c r="W16" s="16"/>
      <c r="X16" s="11"/>
    </row>
    <row r="17" spans="2:24" ht="9.75" customHeight="1" outlineLevel="1">
      <c r="B17" s="21"/>
      <c r="C17" s="32" t="str">
        <f>+C7</f>
        <v>MTV Eiche Schönebeck</v>
      </c>
      <c r="D17" s="35">
        <f>IF(I16="","",I16)</f>
      </c>
      <c r="E17" s="36" t="s">
        <v>27</v>
      </c>
      <c r="F17" s="37">
        <f>IF(G16="","",G16)</f>
      </c>
      <c r="G17" s="33"/>
      <c r="H17" s="142"/>
      <c r="I17" s="34"/>
      <c r="J17" s="35"/>
      <c r="K17" s="36" t="s">
        <v>27</v>
      </c>
      <c r="L17" s="37"/>
      <c r="M17" s="35"/>
      <c r="N17" s="36" t="s">
        <v>27</v>
      </c>
      <c r="O17" s="37"/>
      <c r="P17" s="38"/>
      <c r="Q17" s="36" t="s">
        <v>27</v>
      </c>
      <c r="R17" s="110"/>
      <c r="S17" s="22"/>
      <c r="T17" s="23"/>
      <c r="U17" s="24"/>
      <c r="V17" s="25"/>
      <c r="W17" s="16"/>
      <c r="X17" s="11"/>
    </row>
    <row r="18" spans="2:24" ht="9.75" customHeight="1" outlineLevel="1">
      <c r="B18" s="21"/>
      <c r="C18" s="32" t="str">
        <f>+C9</f>
        <v>3. West</v>
      </c>
      <c r="D18" s="35">
        <f>IF(L16="","",L16)</f>
      </c>
      <c r="E18" s="36" t="s">
        <v>27</v>
      </c>
      <c r="F18" s="37">
        <f>IF(J16="","",J16)</f>
      </c>
      <c r="G18" s="35">
        <f>IF(L17="","",L17)</f>
      </c>
      <c r="H18" s="36" t="s">
        <v>27</v>
      </c>
      <c r="I18" s="37">
        <f>IF(J17="","",J17)</f>
      </c>
      <c r="J18" s="33"/>
      <c r="K18" s="142"/>
      <c r="L18" s="34"/>
      <c r="M18" s="35"/>
      <c r="N18" s="36" t="s">
        <v>27</v>
      </c>
      <c r="O18" s="37"/>
      <c r="P18" s="38"/>
      <c r="Q18" s="36" t="s">
        <v>27</v>
      </c>
      <c r="R18" s="110"/>
      <c r="S18" s="22"/>
      <c r="T18" s="23"/>
      <c r="U18" s="24"/>
      <c r="V18" s="25"/>
      <c r="W18" s="16"/>
      <c r="X18" s="11"/>
    </row>
    <row r="19" spans="2:24" ht="9.75" customHeight="1" outlineLevel="1">
      <c r="B19" s="21"/>
      <c r="C19" s="32" t="str">
        <f>+C11</f>
        <v>TSV Radevormwald</v>
      </c>
      <c r="D19" s="35">
        <f>IF(O16="","",O16)</f>
      </c>
      <c r="E19" s="36" t="s">
        <v>27</v>
      </c>
      <c r="F19" s="37">
        <f>IF(M16="","",M16)</f>
      </c>
      <c r="G19" s="35">
        <f>IF(O17="","",O17)</f>
      </c>
      <c r="H19" s="36" t="s">
        <v>27</v>
      </c>
      <c r="I19" s="37">
        <f>IF(M17="","",M17)</f>
      </c>
      <c r="J19" s="35">
        <f>IF(O18="","",O18)</f>
      </c>
      <c r="K19" s="36" t="s">
        <v>27</v>
      </c>
      <c r="L19" s="37">
        <f>IF(M18="","",M18)</f>
      </c>
      <c r="M19" s="33"/>
      <c r="N19" s="142"/>
      <c r="O19" s="34"/>
      <c r="P19" s="38"/>
      <c r="Q19" s="36" t="s">
        <v>27</v>
      </c>
      <c r="R19" s="110"/>
      <c r="S19" s="22"/>
      <c r="T19" s="23"/>
      <c r="U19" s="24"/>
      <c r="V19" s="25"/>
      <c r="W19" s="16"/>
      <c r="X19" s="11"/>
    </row>
    <row r="20" spans="2:24" ht="9.75" customHeight="1" outlineLevel="1">
      <c r="B20" s="21"/>
      <c r="C20" s="227" t="str">
        <f>+C13</f>
        <v>TV Edingen</v>
      </c>
      <c r="D20" s="35">
        <f>IF(R16="","",R16)</f>
      </c>
      <c r="E20" s="36" t="s">
        <v>27</v>
      </c>
      <c r="F20" s="37">
        <f>IF(P16="","",P16)</f>
      </c>
      <c r="G20" s="35">
        <f>IF(R17="","",R17)</f>
      </c>
      <c r="H20" s="36" t="s">
        <v>27</v>
      </c>
      <c r="I20" s="37">
        <f>IF(P17="","",P17)</f>
      </c>
      <c r="J20" s="35">
        <f>IF(R18="","",R18)</f>
      </c>
      <c r="K20" s="36" t="s">
        <v>27</v>
      </c>
      <c r="L20" s="37">
        <f>IF(P18="","",P18)</f>
      </c>
      <c r="M20" s="35">
        <f>IF(R19="","",R19)</f>
      </c>
      <c r="N20" s="36" t="s">
        <v>27</v>
      </c>
      <c r="O20" s="37">
        <f>IF(P19="","",P19)</f>
      </c>
      <c r="P20" s="33"/>
      <c r="Q20" s="142"/>
      <c r="R20" s="34"/>
      <c r="S20" s="22"/>
      <c r="T20" s="23"/>
      <c r="U20" s="24"/>
      <c r="V20" s="25"/>
      <c r="W20" s="16"/>
      <c r="X20" s="11"/>
    </row>
    <row r="22" spans="2:22" ht="12.75" customHeight="1">
      <c r="B22" s="130"/>
      <c r="C22" s="69" t="str">
        <f>+Daten!L12</f>
        <v>Gruppe H</v>
      </c>
      <c r="D22" s="19"/>
      <c r="E22" s="48" t="str">
        <f>+C23</f>
        <v>TV Grohn</v>
      </c>
      <c r="F22" s="20"/>
      <c r="G22" s="19"/>
      <c r="H22" s="48" t="str">
        <f>+C25</f>
        <v>VfL Hannover</v>
      </c>
      <c r="I22" s="20"/>
      <c r="J22" s="19"/>
      <c r="K22" s="48" t="str">
        <f>+C27</f>
        <v>TV Baden</v>
      </c>
      <c r="L22" s="20"/>
      <c r="M22" s="19"/>
      <c r="N22" s="48" t="str">
        <f>+C29</f>
        <v>TV Oberschopfheim</v>
      </c>
      <c r="O22" s="20"/>
      <c r="P22" s="19"/>
      <c r="Q22" s="48" t="str">
        <f>+C31</f>
        <v>SKG Ober Ramstadt</v>
      </c>
      <c r="R22" s="20"/>
      <c r="S22" s="19"/>
      <c r="T22" s="51" t="s">
        <v>24</v>
      </c>
      <c r="U22" s="20"/>
      <c r="V22" s="52" t="s">
        <v>25</v>
      </c>
    </row>
    <row r="23" spans="2:28" ht="15" customHeight="1">
      <c r="B23" s="46" t="str">
        <f>IF(Daten!K13="","",Daten!K13)</f>
        <v>3.N</v>
      </c>
      <c r="C23" s="27" t="str">
        <f>IF(Daten!L13="","",Daten!L13)</f>
        <v>TV Grohn</v>
      </c>
      <c r="D23" s="91"/>
      <c r="E23" s="92"/>
      <c r="F23" s="93"/>
      <c r="G23" s="30">
        <f>IF('Samstag Haupt'!$Q71="","",'Samstag Haupt'!$Q71)</f>
        <v>36</v>
      </c>
      <c r="H23" s="9" t="s">
        <v>27</v>
      </c>
      <c r="I23" s="31">
        <f>IF('Samstag Haupt'!$S71="","",'Samstag Haupt'!$S71)</f>
        <v>41</v>
      </c>
      <c r="J23" s="30">
        <f>IF('Samstag Haupt'!$Q91="","",'Samstag Haupt'!$Q91)</f>
        <v>39</v>
      </c>
      <c r="K23" s="9" t="s">
        <v>27</v>
      </c>
      <c r="L23" s="31">
        <f>IF('Samstag Haupt'!$S91="","",'Samstag Haupt'!$S91)</f>
        <v>40</v>
      </c>
      <c r="M23" s="30">
        <f>IF('Samstag Haupt'!$Q103="","",'Samstag Haupt'!$Q103)</f>
        <v>43</v>
      </c>
      <c r="N23" s="9" t="s">
        <v>27</v>
      </c>
      <c r="O23" s="31">
        <f>IF('Samstag Haupt'!$S103="","",'Samstag Haupt'!$S103)</f>
        <v>42</v>
      </c>
      <c r="P23" s="30">
        <f>IF('Samstag Haupt'!$Q79="","",'Samstag Haupt'!$Q79)</f>
        <v>36</v>
      </c>
      <c r="Q23" s="9" t="s">
        <v>27</v>
      </c>
      <c r="R23" s="31">
        <f>IF('Samstag Haupt'!$S79="","",'Samstag Haupt'!$S79)</f>
        <v>46</v>
      </c>
      <c r="S23" s="30">
        <f>IF(X24="","",SUM(D23,G23,J23,M23,P23))</f>
        <v>154</v>
      </c>
      <c r="T23" s="9" t="s">
        <v>27</v>
      </c>
      <c r="U23" s="31">
        <f>IF(X24="","",SUM(F23,I23,L23,O23,R23))</f>
        <v>169</v>
      </c>
      <c r="V23" s="26">
        <f>IF(X23="","",RANK(W24,($W$24,$W$26,$W$28,$W$30,$W$32),0))</f>
        <v>5</v>
      </c>
      <c r="X23" s="11" t="s">
        <v>29</v>
      </c>
      <c r="AA23">
        <v>1</v>
      </c>
      <c r="AB23" t="str">
        <f>IF(V23="","",IF($V$23=1,$C$23,IF($V$25=1,$C$25,IF($V$27=1,$C$27,IF($V$29=1,$C$29,IF($V$31=1,$C$31,0))))))</f>
        <v>VfL Hannover</v>
      </c>
    </row>
    <row r="24" spans="2:24" ht="10.5" customHeight="1">
      <c r="B24" s="97"/>
      <c r="C24" s="12"/>
      <c r="D24" s="94"/>
      <c r="E24" s="95"/>
      <c r="F24" s="96"/>
      <c r="G24" s="13">
        <f>IF(G23="","",IF(G23&gt;I23,2,IF(G23&lt;I23,0,1)))</f>
        <v>0</v>
      </c>
      <c r="H24" s="7" t="s">
        <v>28</v>
      </c>
      <c r="I24" s="14">
        <f>IF(I23="","",IF(I23&gt;G23,2,IF(I23&lt;G23,0,1)))</f>
        <v>2</v>
      </c>
      <c r="J24" s="13">
        <f>IF(J23="","",IF(J23&gt;L23,2,IF(J23&lt;L23,0,1)))</f>
        <v>0</v>
      </c>
      <c r="K24" s="7" t="s">
        <v>28</v>
      </c>
      <c r="L24" s="14">
        <f>IF(L23="","",IF(L23&gt;J23,2,IF(L23&lt;J23,0,1)))</f>
        <v>2</v>
      </c>
      <c r="M24" s="13">
        <f>IF(M23="","",IF(M23&gt;O23,2,IF(M23&lt;O23,0,1)))</f>
        <v>2</v>
      </c>
      <c r="N24" s="7" t="s">
        <v>28</v>
      </c>
      <c r="O24" s="14">
        <f>IF(O23="","",IF(O23&gt;M23,2,IF(O23&lt;M23,0,1)))</f>
        <v>0</v>
      </c>
      <c r="P24" s="13">
        <f>IF(P23="","",IF(P23&gt;R23,2,IF(P23&lt;R23,0,1)))</f>
        <v>0</v>
      </c>
      <c r="Q24" s="7" t="s">
        <v>28</v>
      </c>
      <c r="R24" s="14">
        <f>IF(R23="","",IF(R23&gt;P23,2,IF(R23&lt;P23,0,1)))</f>
        <v>2</v>
      </c>
      <c r="S24" s="13">
        <f>IF(X24="","",SUM(D24,G24,J24,M24,P24))</f>
        <v>2</v>
      </c>
      <c r="T24" s="7" t="s">
        <v>28</v>
      </c>
      <c r="U24" s="14">
        <f>IF(X24="","",SUM(F24,I24,L24,O24,R24))</f>
        <v>6</v>
      </c>
      <c r="V24" s="15"/>
      <c r="W24" s="16">
        <f>+(S24-U24)+S23/U23+S24</f>
        <v>-1.0887573964497044</v>
      </c>
      <c r="X24" s="11" t="s">
        <v>29</v>
      </c>
    </row>
    <row r="25" spans="2:28" ht="15" customHeight="1">
      <c r="B25" s="46" t="str">
        <f>IF(Daten!K14="","",Daten!K14)</f>
        <v>1.N</v>
      </c>
      <c r="C25" s="27" t="str">
        <f>IF(Daten!L14="","",Daten!L14)</f>
        <v>VfL Hannover</v>
      </c>
      <c r="D25" s="30">
        <f>IF(I23="","",I23)</f>
        <v>41</v>
      </c>
      <c r="E25" s="9" t="s">
        <v>27</v>
      </c>
      <c r="F25" s="31">
        <f>IF(G23="","",G23)</f>
        <v>36</v>
      </c>
      <c r="G25" s="91"/>
      <c r="H25" s="92"/>
      <c r="I25" s="93"/>
      <c r="J25" s="30">
        <f>IF('Samstag Haupt'!$Q83="","",'Samstag Haupt'!$Q83)</f>
        <v>42</v>
      </c>
      <c r="K25" s="9" t="s">
        <v>27</v>
      </c>
      <c r="L25" s="31">
        <f>IF('Samstag Haupt'!$S83="","",'Samstag Haupt'!$S83)</f>
        <v>32</v>
      </c>
      <c r="M25" s="30">
        <f>IF('Samstag Haupt'!$Q95="","",'Samstag Haupt'!$Q95)</f>
        <v>39</v>
      </c>
      <c r="N25" s="9" t="s">
        <v>27</v>
      </c>
      <c r="O25" s="31">
        <f>IF('Samstag Haupt'!$S95="","",'Samstag Haupt'!$S95)</f>
        <v>36</v>
      </c>
      <c r="P25" s="30">
        <f>IF('Samstag Haupt'!$Q107="","",'Samstag Haupt'!$Q107)</f>
        <v>37</v>
      </c>
      <c r="Q25" s="9" t="s">
        <v>27</v>
      </c>
      <c r="R25" s="31">
        <f>IF('Samstag Haupt'!$S107="","",'Samstag Haupt'!$S107)</f>
        <v>38</v>
      </c>
      <c r="S25" s="30">
        <f>IF(X26="","",SUM(D25,G25,J25,M25,P25))</f>
        <v>159</v>
      </c>
      <c r="T25" s="9" t="s">
        <v>27</v>
      </c>
      <c r="U25" s="31">
        <f>IF(X26="","",SUM(F25,I25,L25,O25,R25))</f>
        <v>142</v>
      </c>
      <c r="V25" s="6">
        <f>IF(X25="","",RANK(W26,($W$24,$W$26,$W$28,$W$30,$W$32),0))</f>
        <v>1</v>
      </c>
      <c r="X25" s="11" t="s">
        <v>29</v>
      </c>
      <c r="AA25">
        <v>2</v>
      </c>
      <c r="AB25" t="str">
        <f>IF(V25="","",IF($V$23=2,$C$23,IF($V$25=2,$C$25,IF($V$27=2,$C$27,IF($V$29=2,$C$29,IF($V$31=2,$C$31,0))))))</f>
        <v>TV Baden</v>
      </c>
    </row>
    <row r="26" spans="2:24" ht="10.5" customHeight="1">
      <c r="B26" s="97"/>
      <c r="C26" s="12"/>
      <c r="D26" s="13">
        <f>IF(D25="","",IF(D25&gt;F25,2,IF(D25&lt;F25,0,1)))</f>
        <v>2</v>
      </c>
      <c r="E26" s="7" t="s">
        <v>28</v>
      </c>
      <c r="F26" s="14">
        <f>IF(F25="","",IF(F25&gt;D25,2,IF(F25&lt;D25,0,1)))</f>
        <v>0</v>
      </c>
      <c r="G26" s="94"/>
      <c r="H26" s="95"/>
      <c r="I26" s="96"/>
      <c r="J26" s="13">
        <f>IF(J25="","",IF(J25&gt;L25,2,IF(J25&lt;L25,0,1)))</f>
        <v>2</v>
      </c>
      <c r="K26" s="7" t="s">
        <v>28</v>
      </c>
      <c r="L26" s="14">
        <f>IF(L25="","",IF(L25&gt;J25,2,IF(L25&lt;J25,0,1)))</f>
        <v>0</v>
      </c>
      <c r="M26" s="13">
        <f>IF(M25="","",IF(M25&gt;O25,2,IF(M25&lt;O25,0,1)))</f>
        <v>2</v>
      </c>
      <c r="N26" s="7" t="s">
        <v>28</v>
      </c>
      <c r="O26" s="14">
        <f>IF(O25="","",IF(O25&gt;M25,2,IF(O25&lt;M25,0,1)))</f>
        <v>0</v>
      </c>
      <c r="P26" s="13">
        <f>IF(P25="","",IF(P25&gt;R25,2,IF(P25&lt;R25,0,1)))</f>
        <v>0</v>
      </c>
      <c r="Q26" s="7" t="s">
        <v>28</v>
      </c>
      <c r="R26" s="14">
        <f>IF(R25="","",IF(R25&gt;P25,2,IF(R25&lt;P25,0,1)))</f>
        <v>2</v>
      </c>
      <c r="S26" s="13">
        <f>IF(X26="","",SUM(D26,G26,J26,M26,P26))</f>
        <v>6</v>
      </c>
      <c r="T26" s="7" t="s">
        <v>28</v>
      </c>
      <c r="U26" s="14">
        <f>IF(X26="","",SUM(F26,I26,L26,O26,R26))</f>
        <v>2</v>
      </c>
      <c r="V26" s="15"/>
      <c r="W26" s="16">
        <f>+(S26-U26)+S25/U25+S26</f>
        <v>11.119718309859156</v>
      </c>
      <c r="X26" s="11" t="s">
        <v>29</v>
      </c>
    </row>
    <row r="27" spans="2:28" ht="15" customHeight="1">
      <c r="B27" s="46" t="str">
        <f>IF(Daten!K15="","",Daten!K15)</f>
        <v>3.S</v>
      </c>
      <c r="C27" s="27" t="str">
        <f>IF(Daten!L15="","",Daten!L15)</f>
        <v>TV Baden</v>
      </c>
      <c r="D27" s="30">
        <f>IF(L23="","",L23)</f>
        <v>40</v>
      </c>
      <c r="E27" s="9" t="s">
        <v>27</v>
      </c>
      <c r="F27" s="31">
        <f>IF(J23="","",J23)</f>
        <v>39</v>
      </c>
      <c r="G27" s="30">
        <f>IF(L25="","",L25)</f>
        <v>32</v>
      </c>
      <c r="H27" s="9" t="s">
        <v>27</v>
      </c>
      <c r="I27" s="31">
        <f>IF(J25="","",J25)</f>
        <v>42</v>
      </c>
      <c r="J27" s="91"/>
      <c r="K27" s="92"/>
      <c r="L27" s="93"/>
      <c r="M27" s="30">
        <f>IF('Samstag Haupt'!$Q75="","",'Samstag Haupt'!$Q75)</f>
        <v>39</v>
      </c>
      <c r="N27" s="9" t="s">
        <v>27</v>
      </c>
      <c r="O27" s="31">
        <f>IF('Samstag Haupt'!$S75="","",'Samstag Haupt'!$S75)</f>
        <v>39</v>
      </c>
      <c r="P27" s="30">
        <f>IF('Samstag Haupt'!$Q99="","",'Samstag Haupt'!$Q99)</f>
        <v>43</v>
      </c>
      <c r="Q27" s="9" t="s">
        <v>27</v>
      </c>
      <c r="R27" s="31">
        <f>IF('Samstag Haupt'!$S99="","",'Samstag Haupt'!$S99)</f>
        <v>33</v>
      </c>
      <c r="S27" s="30">
        <f>IF(X28="","",SUM(D27,G27,J27,M27,P27))</f>
        <v>154</v>
      </c>
      <c r="T27" s="9" t="s">
        <v>27</v>
      </c>
      <c r="U27" s="31">
        <f>IF(X28="","",SUM(F27,I27,L27,O27,R27))</f>
        <v>153</v>
      </c>
      <c r="V27" s="6">
        <f>IF(X27="","",RANK(W28,($W$24,$W$26,$W$28,$W$30,$W$32),0))</f>
        <v>2</v>
      </c>
      <c r="X27" s="11" t="s">
        <v>29</v>
      </c>
      <c r="AA27">
        <v>3</v>
      </c>
      <c r="AB27" t="str">
        <f>IF(V27="","",IF($V$23=3,$C$23,IF($V$25=3,$C$25,IF($V$27=3,$C$27,IF($V$29=3,$C$29,IF($V$31=3,$C$31,0))))))</f>
        <v>SKG Ober Ramstadt</v>
      </c>
    </row>
    <row r="28" spans="2:24" ht="10.5" customHeight="1">
      <c r="B28" s="98"/>
      <c r="C28" s="17"/>
      <c r="D28" s="13">
        <f>IF(D27="","",IF(D27&gt;F27,2,IF(D27&lt;F27,0,1)))</f>
        <v>2</v>
      </c>
      <c r="E28" s="7" t="s">
        <v>28</v>
      </c>
      <c r="F28" s="14">
        <f>IF(F27="","",IF(F27&gt;D27,2,IF(F27&lt;D27,0,1)))</f>
        <v>0</v>
      </c>
      <c r="G28" s="13">
        <f>IF(G27="","",IF(G27&gt;I27,2,IF(G27&lt;I27,0,1)))</f>
        <v>0</v>
      </c>
      <c r="H28" s="7" t="s">
        <v>28</v>
      </c>
      <c r="I28" s="14">
        <f>IF(I27="","",IF(I27&gt;G27,2,IF(I27&lt;G27,0,1)))</f>
        <v>2</v>
      </c>
      <c r="J28" s="94"/>
      <c r="K28" s="95"/>
      <c r="L28" s="96"/>
      <c r="M28" s="13">
        <f>IF(M27="","",IF(M27&gt;O27,2,IF(M27&lt;O27,0,1)))</f>
        <v>1</v>
      </c>
      <c r="N28" s="7" t="s">
        <v>28</v>
      </c>
      <c r="O28" s="14">
        <f>IF(O27="","",IF(O27&gt;M27,2,IF(O27&lt;M27,0,1)))</f>
        <v>1</v>
      </c>
      <c r="P28" s="13">
        <f>IF(P27="","",IF(P27&gt;R27,2,IF(P27&lt;R27,0,1)))</f>
        <v>2</v>
      </c>
      <c r="Q28" s="7" t="s">
        <v>28</v>
      </c>
      <c r="R28" s="14">
        <f>IF(R27="","",IF(R27&gt;P27,2,IF(R27&lt;P27,0,1)))</f>
        <v>0</v>
      </c>
      <c r="S28" s="13">
        <f>IF(X28="","",SUM(D28,G28,J28,M28,P28))</f>
        <v>5</v>
      </c>
      <c r="T28" s="7" t="s">
        <v>28</v>
      </c>
      <c r="U28" s="14">
        <f>IF(X28="","",SUM(F28,I28,L28,O28,R28))</f>
        <v>3</v>
      </c>
      <c r="V28" s="15"/>
      <c r="W28" s="16">
        <f>+(S28-U28)+S27/U27+S28</f>
        <v>8.006535947712418</v>
      </c>
      <c r="X28" s="11" t="s">
        <v>29</v>
      </c>
    </row>
    <row r="29" spans="2:28" ht="15" customHeight="1">
      <c r="B29" s="46" t="str">
        <f>IF(Daten!K16="","",Daten!K16)</f>
        <v>2.S</v>
      </c>
      <c r="C29" s="27" t="str">
        <f>IF(Daten!L16="","",Daten!L16)</f>
        <v>TV Oberschopfheim</v>
      </c>
      <c r="D29" s="30">
        <f>IF(O23="","",O23)</f>
        <v>42</v>
      </c>
      <c r="E29" s="9" t="s">
        <v>27</v>
      </c>
      <c r="F29" s="31">
        <f>IF(M23="","",M23)</f>
        <v>43</v>
      </c>
      <c r="G29" s="30">
        <f>IF(O25="","",O25)</f>
        <v>36</v>
      </c>
      <c r="H29" s="9" t="s">
        <v>27</v>
      </c>
      <c r="I29" s="31">
        <f>IF(M25="","",M25)</f>
        <v>39</v>
      </c>
      <c r="J29" s="30">
        <f>IF(O27="","",O27)</f>
        <v>39</v>
      </c>
      <c r="K29" s="9" t="s">
        <v>27</v>
      </c>
      <c r="L29" s="31">
        <f>IF(M27="","",M27)</f>
        <v>39</v>
      </c>
      <c r="M29" s="91"/>
      <c r="N29" s="92"/>
      <c r="O29" s="93"/>
      <c r="P29" s="30">
        <f>IF('Samstag Haupt'!$Q87="","",'Samstag Haupt'!$Q87)</f>
        <v>42</v>
      </c>
      <c r="Q29" s="9" t="s">
        <v>27</v>
      </c>
      <c r="R29" s="31">
        <f>IF('Samstag Haupt'!$S87="","",'Samstag Haupt'!$S87)</f>
        <v>34</v>
      </c>
      <c r="S29" s="30">
        <f>IF(X30="","",SUM(D29,G29,J29,M29,P29))</f>
        <v>159</v>
      </c>
      <c r="T29" s="9" t="s">
        <v>27</v>
      </c>
      <c r="U29" s="31">
        <f>IF(X30="","",SUM(F29,I29,L29,O29,R29))</f>
        <v>155</v>
      </c>
      <c r="V29" s="6">
        <f>IF(X29="","",RANK(W30,($W$24,$W$26,$W$28,$W$30,$W$32),0))</f>
        <v>4</v>
      </c>
      <c r="X29" s="11" t="s">
        <v>29</v>
      </c>
      <c r="AA29">
        <v>4</v>
      </c>
      <c r="AB29" t="str">
        <f>IF(V29="","",IF($V$23=4,$C$23,IF($V$25=4,$C$25,IF($V$27=4,$C$27,IF($V$29=4,$C$29,IF($V$31=4,$C$31,0))))))</f>
        <v>TV Oberschopfheim</v>
      </c>
    </row>
    <row r="30" spans="2:24" ht="10.5" customHeight="1">
      <c r="B30" s="97"/>
      <c r="C30" s="17"/>
      <c r="D30" s="13">
        <f>IF(D29="","",IF(D29&gt;F29,2,IF(D29&lt;F29,0,1)))</f>
        <v>0</v>
      </c>
      <c r="E30" s="7" t="s">
        <v>28</v>
      </c>
      <c r="F30" s="14">
        <f>IF(F29="","",IF(F29&gt;D29,2,IF(F29&lt;D29,0,1)))</f>
        <v>2</v>
      </c>
      <c r="G30" s="13">
        <f>IF(G29="","",IF(G29&gt;I29,2,IF(G29&lt;I29,0,1)))</f>
        <v>0</v>
      </c>
      <c r="H30" s="7" t="s">
        <v>28</v>
      </c>
      <c r="I30" s="14">
        <f>IF(I29="","",IF(I29&gt;G29,2,IF(I29&lt;G29,0,1)))</f>
        <v>2</v>
      </c>
      <c r="J30" s="13">
        <f>IF(J29="","",IF(J29&gt;L29,2,IF(J29&lt;L29,0,1)))</f>
        <v>1</v>
      </c>
      <c r="K30" s="7" t="s">
        <v>28</v>
      </c>
      <c r="L30" s="14">
        <f>IF(L29="","",IF(L29&gt;J29,2,IF(L29&lt;J29,0,1)))</f>
        <v>1</v>
      </c>
      <c r="M30" s="94"/>
      <c r="N30" s="95"/>
      <c r="O30" s="96"/>
      <c r="P30" s="13">
        <f>IF(P29="","",IF(P29&gt;R29,2,IF(P29&lt;R29,0,1)))</f>
        <v>2</v>
      </c>
      <c r="Q30" s="7" t="s">
        <v>28</v>
      </c>
      <c r="R30" s="14">
        <f>IF(R29="","",IF(R29&gt;P29,2,IF(R29&lt;P29,0,1)))</f>
        <v>0</v>
      </c>
      <c r="S30" s="13">
        <f>IF(X30="","",SUM(D30,G30,J30,M30,P30))</f>
        <v>3</v>
      </c>
      <c r="T30" s="7" t="s">
        <v>28</v>
      </c>
      <c r="U30" s="14">
        <f>IF(X30="","",SUM(F30,I30,L30,O30,R30))</f>
        <v>5</v>
      </c>
      <c r="V30" s="15"/>
      <c r="W30" s="16">
        <f>+(S30-U30)+S29/U29+S30</f>
        <v>2.0258064516129033</v>
      </c>
      <c r="X30" s="11" t="s">
        <v>29</v>
      </c>
    </row>
    <row r="31" spans="2:28" ht="15" customHeight="1">
      <c r="B31" s="46" t="str">
        <f>IF(Daten!K17="","",Daten!K17)</f>
        <v>2.W</v>
      </c>
      <c r="C31" s="27" t="str">
        <f>IF(Daten!L17="","",Daten!L17)</f>
        <v>SKG Ober Ramstadt</v>
      </c>
      <c r="D31" s="30">
        <f>IF(R23="","",R23)</f>
        <v>46</v>
      </c>
      <c r="E31" s="9" t="s">
        <v>27</v>
      </c>
      <c r="F31" s="31">
        <f>IF(P23="","",P23)</f>
        <v>36</v>
      </c>
      <c r="G31" s="30">
        <f>IF(R25="","",R25)</f>
        <v>38</v>
      </c>
      <c r="H31" s="9" t="s">
        <v>27</v>
      </c>
      <c r="I31" s="31">
        <f>IF(P25="","",P25)</f>
        <v>37</v>
      </c>
      <c r="J31" s="30">
        <f>IF(R27="","",R27)</f>
        <v>33</v>
      </c>
      <c r="K31" s="9" t="s">
        <v>27</v>
      </c>
      <c r="L31" s="31">
        <f>IF(P27="","",P27)</f>
        <v>43</v>
      </c>
      <c r="M31" s="30">
        <f>IF(R29="","",R29)</f>
        <v>34</v>
      </c>
      <c r="N31" s="9" t="s">
        <v>27</v>
      </c>
      <c r="O31" s="31">
        <f>IF(P29="","",P29)</f>
        <v>42</v>
      </c>
      <c r="P31" s="91"/>
      <c r="Q31" s="92"/>
      <c r="R31" s="93"/>
      <c r="S31" s="30">
        <f>IF(X32="","",SUM(D31,G31,J31,M31,P31))</f>
        <v>151</v>
      </c>
      <c r="T31" s="9" t="s">
        <v>27</v>
      </c>
      <c r="U31" s="31">
        <f>IF(X32="","",SUM(F31,I31,L31,O31,R31))</f>
        <v>158</v>
      </c>
      <c r="V31" s="6">
        <f>IF(X31="","",RANK(W32,($W$24,$W$26,$W$28,$W$30,$W$32),0))</f>
        <v>3</v>
      </c>
      <c r="X31" s="11" t="s">
        <v>29</v>
      </c>
      <c r="AA31">
        <v>5</v>
      </c>
      <c r="AB31" t="str">
        <f>IF(V31="","",IF($V$23=5,$C$23,IF($V$25=5,$C$25,IF($V$27=5,$C$27,IF($V$29=5,$C$29,IF($V$31=5,$C$31,0))))))</f>
        <v>TV Grohn</v>
      </c>
    </row>
    <row r="32" spans="2:24" ht="10.5" customHeight="1">
      <c r="B32" s="98"/>
      <c r="C32" s="17"/>
      <c r="D32" s="13">
        <f>IF(D31="","",IF(D31&gt;F31,2,IF(D31&lt;F31,0,1)))</f>
        <v>2</v>
      </c>
      <c r="E32" s="7" t="s">
        <v>28</v>
      </c>
      <c r="F32" s="14">
        <f>IF(F31="","",IF(F31&gt;D31,2,IF(F31&lt;D31,0,1)))</f>
        <v>0</v>
      </c>
      <c r="G32" s="13">
        <f>IF(G31="","",IF(G31&gt;I31,2,IF(G31&lt;I31,0,1)))</f>
        <v>2</v>
      </c>
      <c r="H32" s="7" t="s">
        <v>28</v>
      </c>
      <c r="I32" s="14">
        <f>IF(I31="","",IF(I31&gt;G31,2,IF(I31&lt;G31,0,1)))</f>
        <v>0</v>
      </c>
      <c r="J32" s="13">
        <f>IF(J31="","",IF(J31&gt;L31,2,IF(J31&lt;L31,0,1)))</f>
        <v>0</v>
      </c>
      <c r="K32" s="7" t="s">
        <v>28</v>
      </c>
      <c r="L32" s="14">
        <f>IF(L31="","",IF(L31&gt;J31,2,IF(L31&lt;J31,0,1)))</f>
        <v>2</v>
      </c>
      <c r="M32" s="13">
        <f>IF(M31="","",IF(M31&gt;O31,2,IF(M31&lt;O31,0,1)))</f>
        <v>0</v>
      </c>
      <c r="N32" s="7" t="s">
        <v>28</v>
      </c>
      <c r="O32" s="14">
        <f>IF(O31="","",IF(O31&gt;M31,2,IF(O31&lt;M31,0,1)))</f>
        <v>2</v>
      </c>
      <c r="P32" s="94"/>
      <c r="Q32" s="95"/>
      <c r="R32" s="96"/>
      <c r="S32" s="13">
        <f>IF(X32="","",SUM(D32,G32,J32,M32,P32))</f>
        <v>4</v>
      </c>
      <c r="T32" s="7" t="s">
        <v>28</v>
      </c>
      <c r="U32" s="14">
        <f>IF(X32="","",SUM(F32,I32,L32,O32,R32))</f>
        <v>4</v>
      </c>
      <c r="V32" s="15"/>
      <c r="W32" s="16">
        <f>+(S32-U32)+S31/U31+S32</f>
        <v>4.955696202531645</v>
      </c>
      <c r="X32" s="11" t="s">
        <v>29</v>
      </c>
    </row>
    <row r="33" spans="2:24" ht="9.75" customHeight="1">
      <c r="B33" s="41"/>
      <c r="C33" s="41"/>
      <c r="D33" s="42"/>
      <c r="E33" s="9"/>
      <c r="F33" s="43"/>
      <c r="G33" s="42"/>
      <c r="H33" s="9"/>
      <c r="I33" s="43"/>
      <c r="J33" s="42"/>
      <c r="K33" s="9"/>
      <c r="L33" s="43"/>
      <c r="M33" s="42"/>
      <c r="N33" s="9"/>
      <c r="O33" s="43"/>
      <c r="P33" s="18"/>
      <c r="Q33" s="18"/>
      <c r="R33" s="18"/>
      <c r="S33" s="42"/>
      <c r="T33" s="9"/>
      <c r="U33" s="43"/>
      <c r="V33" s="5"/>
      <c r="W33" s="16"/>
      <c r="X33" s="11"/>
    </row>
    <row r="34" spans="2:24" ht="9.75" customHeight="1" outlineLevel="1">
      <c r="B34" s="103" t="s">
        <v>30</v>
      </c>
      <c r="C34" s="32" t="str">
        <f>+C23</f>
        <v>TV Grohn</v>
      </c>
      <c r="D34" s="33"/>
      <c r="E34" s="142"/>
      <c r="F34" s="34"/>
      <c r="G34" s="35"/>
      <c r="H34" s="36" t="s">
        <v>27</v>
      </c>
      <c r="I34" s="37"/>
      <c r="J34" s="35"/>
      <c r="K34" s="36" t="s">
        <v>27</v>
      </c>
      <c r="L34" s="37"/>
      <c r="M34" s="35"/>
      <c r="N34" s="36" t="s">
        <v>27</v>
      </c>
      <c r="O34" s="37"/>
      <c r="P34" s="38"/>
      <c r="Q34" s="36" t="s">
        <v>27</v>
      </c>
      <c r="R34" s="110"/>
      <c r="S34" s="22"/>
      <c r="T34" s="23"/>
      <c r="U34" s="24"/>
      <c r="V34" s="25"/>
      <c r="W34" s="16"/>
      <c r="X34" s="11"/>
    </row>
    <row r="35" spans="2:24" ht="9.75" customHeight="1" outlineLevel="1">
      <c r="B35" s="21"/>
      <c r="C35" s="32" t="str">
        <f>+C25</f>
        <v>VfL Hannover</v>
      </c>
      <c r="D35" s="35">
        <f>IF(I34="","",I34)</f>
      </c>
      <c r="E35" s="36" t="s">
        <v>27</v>
      </c>
      <c r="F35" s="37">
        <f>IF(G34="","",G34)</f>
      </c>
      <c r="G35" s="33"/>
      <c r="H35" s="142"/>
      <c r="I35" s="34"/>
      <c r="J35" s="35"/>
      <c r="K35" s="36" t="s">
        <v>27</v>
      </c>
      <c r="L35" s="37"/>
      <c r="M35" s="35"/>
      <c r="N35" s="36" t="s">
        <v>27</v>
      </c>
      <c r="O35" s="37"/>
      <c r="P35" s="38"/>
      <c r="Q35" s="36" t="s">
        <v>27</v>
      </c>
      <c r="R35" s="110"/>
      <c r="S35" s="22"/>
      <c r="T35" s="23"/>
      <c r="U35" s="24"/>
      <c r="V35" s="25"/>
      <c r="W35" s="16"/>
      <c r="X35" s="11"/>
    </row>
    <row r="36" spans="2:24" ht="9.75" customHeight="1" outlineLevel="1">
      <c r="B36" s="21"/>
      <c r="C36" s="32" t="str">
        <f>+C27</f>
        <v>TV Baden</v>
      </c>
      <c r="D36" s="35">
        <f>IF(L34="","",L34)</f>
      </c>
      <c r="E36" s="36" t="s">
        <v>27</v>
      </c>
      <c r="F36" s="37">
        <f>IF(J34="","",J34)</f>
      </c>
      <c r="G36" s="35">
        <f>IF(L35="","",L35)</f>
      </c>
      <c r="H36" s="36" t="s">
        <v>27</v>
      </c>
      <c r="I36" s="37">
        <f>IF(J35="","",J35)</f>
      </c>
      <c r="J36" s="33"/>
      <c r="K36" s="142"/>
      <c r="L36" s="34"/>
      <c r="M36" s="35"/>
      <c r="N36" s="36" t="s">
        <v>27</v>
      </c>
      <c r="O36" s="37"/>
      <c r="P36" s="38"/>
      <c r="Q36" s="36" t="s">
        <v>27</v>
      </c>
      <c r="R36" s="110"/>
      <c r="S36" s="22"/>
      <c r="T36" s="23"/>
      <c r="U36" s="24"/>
      <c r="V36" s="25"/>
      <c r="W36" s="16"/>
      <c r="X36" s="11"/>
    </row>
    <row r="37" spans="2:24" ht="9.75" customHeight="1" outlineLevel="1">
      <c r="B37" s="21"/>
      <c r="C37" s="32" t="str">
        <f>+C29</f>
        <v>TV Oberschopfheim</v>
      </c>
      <c r="D37" s="35">
        <f>IF(O34="","",O34)</f>
      </c>
      <c r="E37" s="36" t="s">
        <v>27</v>
      </c>
      <c r="F37" s="37">
        <f>IF(M34="","",M34)</f>
      </c>
      <c r="G37" s="35">
        <f>IF(O35="","",O35)</f>
      </c>
      <c r="H37" s="36" t="s">
        <v>27</v>
      </c>
      <c r="I37" s="37">
        <f>IF(M35="","",M35)</f>
      </c>
      <c r="J37" s="35">
        <f>IF(O36="","",O36)</f>
      </c>
      <c r="K37" s="36" t="s">
        <v>27</v>
      </c>
      <c r="L37" s="37">
        <f>IF(M36="","",M36)</f>
      </c>
      <c r="M37" s="33"/>
      <c r="N37" s="142"/>
      <c r="O37" s="34"/>
      <c r="P37" s="38"/>
      <c r="Q37" s="36" t="s">
        <v>27</v>
      </c>
      <c r="R37" s="110"/>
      <c r="S37" s="22"/>
      <c r="T37" s="23"/>
      <c r="U37" s="24"/>
      <c r="V37" s="25"/>
      <c r="W37" s="16"/>
      <c r="X37" s="11"/>
    </row>
    <row r="38" spans="3:18" ht="9.75" customHeight="1" outlineLevel="1">
      <c r="C38" s="32" t="str">
        <f>+C31</f>
        <v>SKG Ober Ramstadt</v>
      </c>
      <c r="D38" s="35">
        <f>IF(R34="","",R34)</f>
      </c>
      <c r="E38" s="36" t="s">
        <v>27</v>
      </c>
      <c r="F38" s="37">
        <f>IF(P34="","",P34)</f>
      </c>
      <c r="G38" s="35">
        <f>IF(R35="","",R35)</f>
      </c>
      <c r="H38" s="36" t="s">
        <v>27</v>
      </c>
      <c r="I38" s="37">
        <f>IF(P35="","",P35)</f>
      </c>
      <c r="J38" s="35">
        <f>IF(R36="","",R36)</f>
      </c>
      <c r="K38" s="36" t="s">
        <v>27</v>
      </c>
      <c r="L38" s="37">
        <f>IF(P36="","",P36)</f>
      </c>
      <c r="M38" s="35">
        <f>IF(R37="","",R37)</f>
      </c>
      <c r="N38" s="36" t="s">
        <v>27</v>
      </c>
      <c r="O38" s="37">
        <f>IF(P37="","",P37)</f>
      </c>
      <c r="P38" s="33"/>
      <c r="Q38" s="142"/>
      <c r="R38" s="34"/>
    </row>
    <row r="39" ht="18" customHeight="1">
      <c r="B39" s="58" t="s">
        <v>41</v>
      </c>
    </row>
    <row r="40" spans="1:15" ht="17.25" customHeight="1">
      <c r="A40" t="s">
        <v>42</v>
      </c>
      <c r="B40" s="66" t="str">
        <f>"4."&amp;+$C$4&amp;"  5."&amp;+$C$22</f>
        <v>4.Gruppe G  5.Gruppe H</v>
      </c>
      <c r="C40" s="104" t="str">
        <f>IF(M40="","",$AB$11&amp;" : "&amp;$AB$31)</f>
        <v>VfK 1901 Berlin : TV Grohn</v>
      </c>
      <c r="D40" s="64"/>
      <c r="E40" s="64"/>
      <c r="F40" s="64"/>
      <c r="G40" s="64"/>
      <c r="H40" s="65"/>
      <c r="I40" s="69"/>
      <c r="J40" s="80">
        <f>IF('Samstag Haupt'!Q110="","",'Samstag Haupt'!Q110)</f>
        <v>37</v>
      </c>
      <c r="K40" s="67" t="s">
        <v>27</v>
      </c>
      <c r="L40" s="78">
        <f>IF('Samstag Haupt'!S110="","",'Samstag Haupt'!S110)</f>
        <v>48</v>
      </c>
      <c r="M40" s="82" t="s">
        <v>29</v>
      </c>
      <c r="N40" s="68"/>
      <c r="O40" s="56"/>
    </row>
    <row r="41" spans="1:13" ht="4.5" customHeight="1">
      <c r="A41" s="25"/>
      <c r="B41" s="62"/>
      <c r="C41" s="105"/>
      <c r="D41" s="44"/>
      <c r="E41" s="45"/>
      <c r="F41" s="44"/>
      <c r="G41" s="44"/>
      <c r="H41" s="44"/>
      <c r="I41" s="44"/>
      <c r="J41" s="81"/>
      <c r="L41" s="79"/>
      <c r="M41" s="83"/>
    </row>
    <row r="42" spans="1:14" ht="17.25" customHeight="1">
      <c r="A42" t="s">
        <v>43</v>
      </c>
      <c r="B42" s="66" t="str">
        <f>"4."&amp;+$C$22&amp;"  5."&amp;+$C$4</f>
        <v>4.Gruppe H  5.Gruppe G</v>
      </c>
      <c r="C42" s="104" t="str">
        <f>IF(M42="","",$AB$29&amp;" : "&amp;$AB$13)</f>
        <v>TV Oberschopfheim : </v>
      </c>
      <c r="D42" s="63"/>
      <c r="E42" s="63"/>
      <c r="F42" s="63"/>
      <c r="G42" s="63"/>
      <c r="H42" s="63"/>
      <c r="I42" s="20"/>
      <c r="J42" s="80">
        <f>IF('Samstag Haupt'!Q111="","",'Samstag Haupt'!Q111)</f>
        <v>30</v>
      </c>
      <c r="K42" s="67" t="s">
        <v>27</v>
      </c>
      <c r="L42" s="78">
        <f>IF('Samstag Haupt'!S111="","",'Samstag Haupt'!S111)</f>
        <v>15</v>
      </c>
      <c r="M42" s="82" t="s">
        <v>29</v>
      </c>
      <c r="N42" s="68"/>
    </row>
    <row r="43" spans="2:22" ht="18" customHeight="1">
      <c r="B43" s="59" t="s">
        <v>44</v>
      </c>
      <c r="C43" s="106"/>
      <c r="D43" s="44"/>
      <c r="E43" s="45"/>
      <c r="F43" s="44"/>
      <c r="G43" s="44"/>
      <c r="H43" s="44"/>
      <c r="I43" s="44"/>
      <c r="J43" s="81"/>
      <c r="L43" s="79"/>
      <c r="M43" s="83"/>
      <c r="P43" s="25"/>
      <c r="Q43" s="25"/>
      <c r="R43" s="25"/>
      <c r="S43" s="25"/>
      <c r="T43" s="25"/>
      <c r="U43" s="25"/>
      <c r="V43" s="25"/>
    </row>
    <row r="44" spans="2:22" ht="17.25" customHeight="1">
      <c r="B44" s="73" t="str">
        <f>"V."&amp;A40&amp;"/"&amp;A42&amp;"      9./10. Pl."</f>
        <v>V.a/b      9./10. Pl.</v>
      </c>
      <c r="C44" s="107" t="str">
        <f>IF(M44="","",'Samstag Haupt'!H114&amp;" : "&amp;'Samstag Haupt'!L114)</f>
        <v>VfK 1901 Berlin : 0</v>
      </c>
      <c r="D44" s="63"/>
      <c r="E44" s="63"/>
      <c r="F44" s="63"/>
      <c r="G44" s="63"/>
      <c r="H44" s="63"/>
      <c r="I44" s="20"/>
      <c r="J44" s="80">
        <f>IF('Samstag Haupt'!Q114="","",'Samstag Haupt'!Q114)</f>
        <v>30</v>
      </c>
      <c r="K44" s="67" t="s">
        <v>27</v>
      </c>
      <c r="L44" s="78">
        <f>IF('Samstag Haupt'!S114="","",'Samstag Haupt'!S114)</f>
        <v>15</v>
      </c>
      <c r="M44" s="83" t="s">
        <v>29</v>
      </c>
      <c r="O44" s="40" t="s">
        <v>31</v>
      </c>
      <c r="P44" s="72"/>
      <c r="Q44" s="72"/>
      <c r="R44" s="72"/>
      <c r="S44" s="72"/>
      <c r="T44" s="72"/>
      <c r="U44" s="72"/>
      <c r="V44" s="72"/>
    </row>
    <row r="45" spans="2:22" ht="4.5" customHeight="1">
      <c r="B45" s="53"/>
      <c r="C45" s="106"/>
      <c r="D45" s="44"/>
      <c r="E45" s="44"/>
      <c r="F45" s="44"/>
      <c r="G45" s="44"/>
      <c r="H45" s="45"/>
      <c r="I45" s="44"/>
      <c r="J45" s="81"/>
      <c r="L45" s="79"/>
      <c r="M45" s="83"/>
      <c r="P45" s="25"/>
      <c r="Q45" s="25"/>
      <c r="R45" s="25"/>
      <c r="S45" s="25"/>
      <c r="T45" s="25"/>
      <c r="U45" s="25"/>
      <c r="V45" s="25"/>
    </row>
    <row r="46" spans="2:24" ht="17.25" customHeight="1">
      <c r="B46" s="73" t="str">
        <f>"S."&amp;A40&amp;"/"&amp;A42&amp;"      7./8. Pl."</f>
        <v>S.a/b      7./8. Pl.</v>
      </c>
      <c r="C46" s="107" t="str">
        <f>IF(M46="","",'Samstag Haupt'!H115&amp;" : "&amp;'Samstag Haupt'!L115)</f>
        <v>TV Grohn : TV Oberschopfheim</v>
      </c>
      <c r="D46" s="64"/>
      <c r="E46" s="65"/>
      <c r="F46" s="64"/>
      <c r="G46" s="64"/>
      <c r="H46" s="64"/>
      <c r="I46" s="69"/>
      <c r="J46" s="80">
        <f>IF('Samstag Haupt'!Q115="","",'Samstag Haupt'!Q115)</f>
        <v>41</v>
      </c>
      <c r="K46" s="67" t="s">
        <v>27</v>
      </c>
      <c r="L46" s="78">
        <f>IF('Samstag Haupt'!S115="","",'Samstag Haupt'!S115)</f>
        <v>43</v>
      </c>
      <c r="M46" s="83" t="s">
        <v>29</v>
      </c>
      <c r="O46" s="131">
        <v>1</v>
      </c>
      <c r="P46" s="132" t="str">
        <f>" "&amp;IF($J$60="","",IF(Sonntag!Q67&gt;Sonntag!S67,Sonntag!H67,Sonntag!L67))</f>
        <v> VfL Hannover</v>
      </c>
      <c r="Q46" s="132"/>
      <c r="R46" s="132"/>
      <c r="S46" s="132"/>
      <c r="T46" s="132"/>
      <c r="U46" s="132"/>
      <c r="V46" s="133"/>
      <c r="X46" t="s">
        <v>29</v>
      </c>
    </row>
    <row r="47" spans="2:22" ht="18" customHeight="1">
      <c r="B47" s="59" t="s">
        <v>32</v>
      </c>
      <c r="C47" s="106"/>
      <c r="D47" s="44"/>
      <c r="E47" s="44"/>
      <c r="F47" s="44"/>
      <c r="G47" s="44"/>
      <c r="H47" s="45"/>
      <c r="I47" s="44"/>
      <c r="J47" s="81"/>
      <c r="L47" s="79"/>
      <c r="M47" s="83"/>
      <c r="O47" s="84">
        <v>2</v>
      </c>
      <c r="P47" s="102" t="str">
        <f>" "&amp;IF($J$60="","",IF(Sonntag!Q67&lt;Sonntag!S67,Sonntag!H67,Sonntag!L67))</f>
        <v> TSV Radevormwald</v>
      </c>
      <c r="Q47" s="56"/>
      <c r="R47" s="56"/>
      <c r="S47" s="56"/>
      <c r="T47" s="56"/>
      <c r="U47" s="56"/>
      <c r="V47" s="74"/>
    </row>
    <row r="48" spans="1:22" ht="17.25" customHeight="1">
      <c r="A48" t="s">
        <v>33</v>
      </c>
      <c r="B48" s="66" t="str">
        <f>"2."&amp;+$C$4&amp;"  3."&amp;+$C$22</f>
        <v>2.Gruppe G  3.Gruppe H</v>
      </c>
      <c r="C48" s="104" t="str">
        <f>IF(M48="","",$AB$7&amp;" : "&amp;$AB$27)</f>
        <v>MTV Eiche Schönebeck : SKG Ober Ramstadt</v>
      </c>
      <c r="D48" s="64"/>
      <c r="E48" s="65"/>
      <c r="F48" s="64"/>
      <c r="G48" s="64"/>
      <c r="H48" s="64"/>
      <c r="I48" s="69"/>
      <c r="J48" s="80">
        <f>IF(Sonntag!Q30="","",Sonntag!Q30)</f>
        <v>42</v>
      </c>
      <c r="K48" s="67" t="s">
        <v>27</v>
      </c>
      <c r="L48" s="78">
        <f>IF(Sonntag!S30="","",Sonntag!S30)</f>
        <v>36</v>
      </c>
      <c r="M48" s="83" t="s">
        <v>29</v>
      </c>
      <c r="O48" s="84">
        <v>3</v>
      </c>
      <c r="P48" s="86" t="str">
        <f>" "&amp;IF($J$58="","",IF(Sonntag!Q56&gt;Sonntag!S56,Sonntag!H56,Sonntag!L56))</f>
        <v> MTV Eiche Schönebeck</v>
      </c>
      <c r="Q48" s="56"/>
      <c r="R48" s="56"/>
      <c r="S48" s="56"/>
      <c r="T48" s="56"/>
      <c r="U48" s="56"/>
      <c r="V48" s="74"/>
    </row>
    <row r="49" spans="2:22" ht="4.5" customHeight="1">
      <c r="B49" s="44"/>
      <c r="C49" s="106"/>
      <c r="D49" s="44"/>
      <c r="E49" s="44"/>
      <c r="F49" s="44"/>
      <c r="G49" s="44"/>
      <c r="H49" s="44"/>
      <c r="I49" s="44"/>
      <c r="J49" s="81"/>
      <c r="L49" s="79"/>
      <c r="M49" s="83"/>
      <c r="O49" s="84"/>
      <c r="P49" s="56"/>
      <c r="Q49" s="56"/>
      <c r="R49" s="56"/>
      <c r="S49" s="56"/>
      <c r="T49" s="56"/>
      <c r="U49" s="56"/>
      <c r="V49" s="74"/>
    </row>
    <row r="50" spans="1:22" ht="17.25" customHeight="1">
      <c r="A50" t="s">
        <v>34</v>
      </c>
      <c r="B50" s="66" t="str">
        <f>"2."&amp;+$C$22&amp;"  3."&amp;+$C$4</f>
        <v>2.Gruppe H  3.Gruppe G</v>
      </c>
      <c r="C50" s="104" t="str">
        <f>IF(M50="","",$AB$25&amp;" : "&amp;$AB$9)</f>
        <v>TV Baden : TV Edingen</v>
      </c>
      <c r="D50" s="64"/>
      <c r="E50" s="64"/>
      <c r="F50" s="64"/>
      <c r="G50" s="64"/>
      <c r="H50" s="65"/>
      <c r="I50" s="69"/>
      <c r="J50" s="80">
        <f>IF(Sonntag!Q31="","",Sonntag!Q31)</f>
        <v>32</v>
      </c>
      <c r="K50" s="67" t="s">
        <v>27</v>
      </c>
      <c r="L50" s="78">
        <f>IF(Sonntag!S31="","",Sonntag!S31)</f>
        <v>42</v>
      </c>
      <c r="M50" s="83" t="s">
        <v>29</v>
      </c>
      <c r="O50" s="84">
        <v>4</v>
      </c>
      <c r="P50" s="86" t="str">
        <f>" "&amp;IF($J$58="","",IF(Sonntag!Q56&lt;Sonntag!S56,Sonntag!H56,Sonntag!L56))</f>
        <v> TV Edingen</v>
      </c>
      <c r="Q50" s="56"/>
      <c r="R50" s="56"/>
      <c r="S50" s="56"/>
      <c r="T50" s="56"/>
      <c r="U50" s="56"/>
      <c r="V50" s="74"/>
    </row>
    <row r="51" spans="2:22" ht="18" customHeight="1">
      <c r="B51" s="59" t="s">
        <v>35</v>
      </c>
      <c r="C51" s="106"/>
      <c r="D51" s="44"/>
      <c r="E51" s="44"/>
      <c r="F51" s="44"/>
      <c r="G51" s="44"/>
      <c r="H51" s="44"/>
      <c r="I51" s="44"/>
      <c r="J51" s="81"/>
      <c r="L51" s="79"/>
      <c r="M51" s="83"/>
      <c r="O51" s="84">
        <v>5</v>
      </c>
      <c r="P51" s="86" t="str">
        <f>" "&amp;IF($J$56="","",IF(Sonntag!Q50&gt;Sonntag!S50,Sonntag!H50,Sonntag!L50))</f>
        <v> TV Baden</v>
      </c>
      <c r="Q51" s="56"/>
      <c r="R51" s="56"/>
      <c r="S51" s="56"/>
      <c r="T51" s="56"/>
      <c r="U51" s="56"/>
      <c r="V51" s="74"/>
    </row>
    <row r="52" spans="1:22" ht="17.25" customHeight="1">
      <c r="A52" t="s">
        <v>36</v>
      </c>
      <c r="B52" s="66" t="str">
        <f>"1."&amp;+$C$4&amp;"  Sieger "&amp;+$A$50</f>
        <v>1.Gruppe G  Sieger d</v>
      </c>
      <c r="C52" s="107" t="str">
        <f>IF(M52="","",$AB$5&amp;" : "&amp;Sonntag!L42)</f>
        <v>TSV Radevormwald : TV Edingen</v>
      </c>
      <c r="D52" s="64"/>
      <c r="E52" s="64"/>
      <c r="F52" s="64"/>
      <c r="G52" s="64"/>
      <c r="H52" s="65"/>
      <c r="I52" s="69"/>
      <c r="J52" s="80">
        <f>IF(Sonntag!Q42="","",Sonntag!Q42)</f>
        <v>41</v>
      </c>
      <c r="K52" s="67" t="s">
        <v>27</v>
      </c>
      <c r="L52" s="78">
        <f>IF(Sonntag!S42="","",Sonntag!S42)</f>
        <v>32</v>
      </c>
      <c r="M52" s="83" t="s">
        <v>29</v>
      </c>
      <c r="O52" s="84">
        <v>6</v>
      </c>
      <c r="P52" s="86" t="str">
        <f>" "&amp;IF($J$56="","",IF(Sonntag!Q50&lt;Sonntag!S50,Sonntag!H50,Sonntag!L50))</f>
        <v> SKG Ober Ramstadt</v>
      </c>
      <c r="Q52" s="56"/>
      <c r="R52" s="56"/>
      <c r="S52" s="56"/>
      <c r="T52" s="56"/>
      <c r="U52" s="56"/>
      <c r="V52" s="74"/>
    </row>
    <row r="53" spans="2:22" ht="4.5" customHeight="1">
      <c r="B53" s="45"/>
      <c r="C53" s="106"/>
      <c r="D53" s="44"/>
      <c r="E53" s="45"/>
      <c r="F53" s="44"/>
      <c r="G53" s="44"/>
      <c r="H53" s="44"/>
      <c r="I53" s="44"/>
      <c r="J53" s="81"/>
      <c r="L53" s="79"/>
      <c r="M53" s="83"/>
      <c r="O53" s="84"/>
      <c r="P53" s="56"/>
      <c r="Q53" s="56"/>
      <c r="R53" s="56"/>
      <c r="S53" s="56"/>
      <c r="T53" s="56"/>
      <c r="U53" s="56"/>
      <c r="V53" s="74"/>
    </row>
    <row r="54" spans="1:22" ht="17.25" customHeight="1">
      <c r="A54" t="s">
        <v>37</v>
      </c>
      <c r="B54" s="66" t="str">
        <f>"1."&amp;+$C$22&amp;"  Sieger "&amp;+$A$48</f>
        <v>1.Gruppe H  Sieger c</v>
      </c>
      <c r="C54" s="107" t="str">
        <f>IF(M54="","",$AB$23&amp;" : "&amp;Sonntag!L43)</f>
        <v>VfL Hannover : MTV Eiche Schönebeck</v>
      </c>
      <c r="D54" s="64"/>
      <c r="E54" s="64"/>
      <c r="F54" s="64"/>
      <c r="G54" s="64"/>
      <c r="H54" s="64"/>
      <c r="I54" s="69"/>
      <c r="J54" s="80">
        <f>IF(Sonntag!Q43="","",Sonntag!Q43)</f>
        <v>36</v>
      </c>
      <c r="K54" s="67" t="s">
        <v>27</v>
      </c>
      <c r="L54" s="78">
        <f>IF(Sonntag!S43="","",Sonntag!S43)</f>
        <v>32</v>
      </c>
      <c r="M54" s="83" t="s">
        <v>29</v>
      </c>
      <c r="O54" s="84">
        <v>7</v>
      </c>
      <c r="P54" s="86" t="str">
        <f>" "&amp;IF($J$46="","",IF('Samstag Haupt'!Q115&gt;'Samstag Haupt'!S115,'Samstag Haupt'!H115,'Samstag Haupt'!L115))</f>
        <v> TV Oberschopfheim</v>
      </c>
      <c r="Q54" s="56"/>
      <c r="R54" s="56"/>
      <c r="S54" s="56"/>
      <c r="T54" s="56"/>
      <c r="U54" s="56"/>
      <c r="V54" s="74"/>
    </row>
    <row r="55" spans="2:22" ht="18" customHeight="1">
      <c r="B55" s="60" t="s">
        <v>45</v>
      </c>
      <c r="C55" s="106"/>
      <c r="D55" s="44"/>
      <c r="E55" s="45"/>
      <c r="F55" s="44"/>
      <c r="G55" s="44"/>
      <c r="H55" s="44"/>
      <c r="I55" s="44"/>
      <c r="J55" s="81"/>
      <c r="L55" s="79"/>
      <c r="M55" s="83"/>
      <c r="O55" s="84">
        <v>8</v>
      </c>
      <c r="P55" s="86" t="str">
        <f>" "&amp;IF($J$46="","",IF('Samstag Haupt'!Q115&lt;'Samstag Haupt'!S115,'Samstag Haupt'!H115,'Samstag Haupt'!L115))</f>
        <v> TV Grohn</v>
      </c>
      <c r="Q55" s="56"/>
      <c r="R55" s="56"/>
      <c r="S55" s="56"/>
      <c r="T55" s="56"/>
      <c r="U55" s="56"/>
      <c r="V55" s="74"/>
    </row>
    <row r="56" spans="2:22" ht="17.25" customHeight="1">
      <c r="B56" s="73" t="str">
        <f>"V."&amp;A48&amp;"/"&amp;A50&amp;"         5./6. Pl."</f>
        <v>V.c/d         5./6. Pl.</v>
      </c>
      <c r="C56" s="107" t="str">
        <f>IF(M56="","",Sonntag!H50&amp;" : "&amp;Sonntag!L50)</f>
        <v>SKG Ober Ramstadt : TV Baden</v>
      </c>
      <c r="D56" s="64"/>
      <c r="E56" s="64"/>
      <c r="F56" s="64"/>
      <c r="G56" s="64"/>
      <c r="H56" s="64"/>
      <c r="I56" s="69"/>
      <c r="J56" s="80">
        <f>IF(Sonntag!Q50="","",Sonntag!Q50)</f>
        <v>38</v>
      </c>
      <c r="K56" s="67" t="s">
        <v>27</v>
      </c>
      <c r="L56" s="78">
        <f>IF(Sonntag!S50="","",Sonntag!S50)</f>
        <v>39</v>
      </c>
      <c r="M56" s="83" t="s">
        <v>29</v>
      </c>
      <c r="O56" s="84">
        <v>9</v>
      </c>
      <c r="P56" s="86" t="str">
        <f>" "&amp;IF($J$44="","",IF('Samstag Haupt'!Q114&gt;'Samstag Haupt'!S114,'Samstag Haupt'!H114,'Samstag Haupt'!L114))</f>
        <v> VfK 1901 Berlin</v>
      </c>
      <c r="Q56" s="56"/>
      <c r="R56" s="56"/>
      <c r="S56" s="56"/>
      <c r="T56" s="56"/>
      <c r="U56" s="56"/>
      <c r="V56" s="74"/>
    </row>
    <row r="57" spans="2:22" ht="4.5" customHeight="1">
      <c r="B57" s="44"/>
      <c r="C57" s="106"/>
      <c r="D57" s="44"/>
      <c r="E57" s="44"/>
      <c r="F57" s="44"/>
      <c r="G57" s="44"/>
      <c r="H57" s="45"/>
      <c r="I57" s="44"/>
      <c r="J57" s="81"/>
      <c r="L57" s="79"/>
      <c r="M57" s="83"/>
      <c r="O57" s="84"/>
      <c r="P57" s="56"/>
      <c r="Q57" s="56"/>
      <c r="R57" s="56"/>
      <c r="S57" s="56"/>
      <c r="T57" s="56"/>
      <c r="U57" s="56"/>
      <c r="V57" s="74"/>
    </row>
    <row r="58" spans="2:22" ht="17.25" customHeight="1">
      <c r="B58" s="73" t="str">
        <f>"V."&amp;A52&amp;"/"&amp;A54&amp;"         3./4. Pl."</f>
        <v>V.e/f         3./4. Pl.</v>
      </c>
      <c r="C58" s="107" t="str">
        <f>IF(M58="","",Sonntag!H56&amp;" : "&amp;Sonntag!L56)</f>
        <v>TV Edingen : MTV Eiche Schönebeck</v>
      </c>
      <c r="D58" s="64"/>
      <c r="E58" s="65"/>
      <c r="F58" s="64"/>
      <c r="G58" s="64"/>
      <c r="H58" s="64"/>
      <c r="I58" s="69"/>
      <c r="J58" s="80">
        <f>IF(Sonntag!Q56="","",Sonntag!Q56)</f>
        <v>31</v>
      </c>
      <c r="K58" s="67" t="s">
        <v>27</v>
      </c>
      <c r="L58" s="78">
        <f>IF(Sonntag!S56="","",Sonntag!S56)</f>
        <v>44</v>
      </c>
      <c r="M58" s="83" t="s">
        <v>29</v>
      </c>
      <c r="O58" s="85">
        <v>10</v>
      </c>
      <c r="P58" s="87"/>
      <c r="Q58" s="75"/>
      <c r="R58" s="75"/>
      <c r="S58" s="75"/>
      <c r="T58" s="75"/>
      <c r="U58" s="75"/>
      <c r="V58" s="76"/>
    </row>
    <row r="59" spans="2:13" ht="18" customHeight="1">
      <c r="B59" s="70" t="s">
        <v>39</v>
      </c>
      <c r="C59" s="105"/>
      <c r="D59" s="44"/>
      <c r="E59" s="44"/>
      <c r="F59" s="44"/>
      <c r="G59" s="25"/>
      <c r="H59" s="71"/>
      <c r="I59" s="25"/>
      <c r="J59" s="81"/>
      <c r="L59" s="79"/>
      <c r="M59" s="83"/>
    </row>
    <row r="60" spans="2:13" ht="17.25" customHeight="1">
      <c r="B60" s="73" t="str">
        <f>"S."&amp;A52&amp;"/"&amp;A54&amp;"         1./2. Pl."</f>
        <v>S.e/f         1./2. Pl.</v>
      </c>
      <c r="C60" s="107" t="str">
        <f>IF(M60="","",Sonntag!H67&amp;" : "&amp;Sonntag!L67)</f>
        <v>TSV Radevormwald : VfL Hannover</v>
      </c>
      <c r="D60" s="63"/>
      <c r="E60" s="77"/>
      <c r="F60" s="63"/>
      <c r="G60" s="64"/>
      <c r="H60" s="64"/>
      <c r="I60" s="69"/>
      <c r="J60" s="80">
        <f>IF(Sonntag!Q67="","",Sonntag!Q67)</f>
        <v>35</v>
      </c>
      <c r="K60" s="67" t="s">
        <v>27</v>
      </c>
      <c r="L60" s="78">
        <f>IF(Sonntag!S67="","",Sonntag!S67)</f>
        <v>39</v>
      </c>
      <c r="M60" s="83" t="s">
        <v>29</v>
      </c>
    </row>
  </sheetData>
  <printOptions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&amp;R&amp;6&amp;F;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0"/>
  <sheetViews>
    <sheetView showGridLines="0" workbookViewId="0" topLeftCell="A14">
      <selection activeCell="B2" sqref="B2:V60"/>
    </sheetView>
  </sheetViews>
  <sheetFormatPr defaultColWidth="11.421875" defaultRowHeight="12.75" outlineLevelRow="1" outlineLevelCol="1"/>
  <cols>
    <col min="1" max="1" width="2.00390625" style="0" customWidth="1"/>
    <col min="2" max="2" width="6.8515625" style="0" customWidth="1"/>
    <col min="3" max="3" width="24.7109375" style="0" customWidth="1"/>
    <col min="4" max="4" width="4.00390625" style="0" customWidth="1"/>
    <col min="5" max="5" width="1.7109375" style="0" customWidth="1"/>
    <col min="6" max="7" width="4.00390625" style="0" customWidth="1"/>
    <col min="8" max="8" width="1.7109375" style="0" customWidth="1"/>
    <col min="9" max="10" width="4.00390625" style="0" customWidth="1"/>
    <col min="11" max="11" width="1.7109375" style="0" customWidth="1"/>
    <col min="12" max="13" width="4.00390625" style="0" customWidth="1"/>
    <col min="14" max="14" width="1.7109375" style="0" customWidth="1"/>
    <col min="15" max="16" width="4.00390625" style="0" customWidth="1"/>
    <col min="17" max="17" width="1.7109375" style="0" customWidth="1"/>
    <col min="18" max="19" width="4.00390625" style="0" customWidth="1"/>
    <col min="20" max="20" width="1.7109375" style="0" customWidth="1"/>
    <col min="21" max="21" width="4.00390625" style="0" customWidth="1"/>
    <col min="22" max="22" width="4.7109375" style="0" customWidth="1"/>
    <col min="23" max="23" width="6.57421875" style="0" hidden="1" customWidth="1" outlineLevel="1"/>
    <col min="24" max="24" width="4.00390625" style="0" customWidth="1" collapsed="1"/>
    <col min="25" max="25" width="4.8515625" style="0" customWidth="1"/>
    <col min="26" max="26" width="1.7109375" style="0" customWidth="1"/>
    <col min="27" max="28" width="4.00390625" style="0" customWidth="1"/>
    <col min="29" max="29" width="1.7109375" style="0" customWidth="1"/>
    <col min="30" max="30" width="4.00390625" style="0" customWidth="1"/>
  </cols>
  <sheetData>
    <row r="1" spans="1:22" ht="24.75" customHeight="1">
      <c r="A1" s="88"/>
      <c r="B1" s="89" t="str">
        <f>Daten!A1&amp;" "&amp;Daten!B1&amp;" "&amp;Daten!L1</f>
        <v>43. Deutsche Prellball Meisterschaften der Seniorinnen und Senioren 2006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21.75" customHeight="1">
      <c r="B2" s="125" t="s">
        <v>40</v>
      </c>
      <c r="C2" s="126"/>
      <c r="D2" s="57"/>
      <c r="E2" s="54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25" t="str">
        <f>+Daten!I3</f>
        <v>Frauen 40</v>
      </c>
      <c r="S2" s="127"/>
      <c r="T2" s="127"/>
      <c r="U2" s="127"/>
      <c r="V2" s="126"/>
    </row>
    <row r="3" spans="2:22" ht="6.75" customHeight="1">
      <c r="B3" s="55"/>
      <c r="C3" s="56"/>
      <c r="D3" s="57"/>
      <c r="E3" s="54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6"/>
      <c r="V3" s="56"/>
    </row>
    <row r="4" spans="2:29" ht="12.75" customHeight="1">
      <c r="B4" s="128"/>
      <c r="C4" s="129" t="str">
        <f>+Daten!I4</f>
        <v>Gruppe J</v>
      </c>
      <c r="D4" s="47"/>
      <c r="E4" s="48" t="str">
        <f>+C5</f>
        <v>VfL Oldenburg</v>
      </c>
      <c r="F4" s="49"/>
      <c r="G4" s="19"/>
      <c r="H4" s="48" t="str">
        <f>+C7</f>
        <v>MTV Itzehoe</v>
      </c>
      <c r="I4" s="20"/>
      <c r="J4" s="19"/>
      <c r="K4" s="48" t="str">
        <f>+C9</f>
        <v>TV Berkenbaum</v>
      </c>
      <c r="L4" s="20"/>
      <c r="M4" s="19"/>
      <c r="N4" s="48" t="str">
        <f>+C11</f>
        <v>Barmer TG</v>
      </c>
      <c r="O4" s="20"/>
      <c r="P4" s="19"/>
      <c r="Q4" s="50" t="str">
        <f>+C13</f>
        <v>TSV Ludwigshafen</v>
      </c>
      <c r="R4" s="20"/>
      <c r="S4" s="19"/>
      <c r="T4" s="51" t="s">
        <v>24</v>
      </c>
      <c r="U4" s="20"/>
      <c r="V4" s="52" t="s">
        <v>25</v>
      </c>
      <c r="X4" t="s">
        <v>29</v>
      </c>
      <c r="AC4" s="61"/>
    </row>
    <row r="5" spans="2:28" ht="15" customHeight="1">
      <c r="B5" s="99" t="str">
        <f>IF(Daten!H5="","",Daten!H5)</f>
        <v>4.N</v>
      </c>
      <c r="C5" s="27" t="str">
        <f>IF(Daten!I5="","",Daten!I5)</f>
        <v>VfL Oldenburg</v>
      </c>
      <c r="D5" s="91"/>
      <c r="E5" s="92"/>
      <c r="F5" s="93"/>
      <c r="G5" s="30">
        <f>IF('Samstag Haupt'!$Q22="","",'Samstag Haupt'!$Q22)</f>
        <v>40</v>
      </c>
      <c r="H5" s="9" t="s">
        <v>27</v>
      </c>
      <c r="I5" s="31">
        <f>IF('Samstag Haupt'!$S22="","",'Samstag Haupt'!$S22)</f>
        <v>41</v>
      </c>
      <c r="J5" s="30">
        <f>IF('Samstag Haupt'!$Q42="","",'Samstag Haupt'!$Q42)</f>
        <v>40</v>
      </c>
      <c r="K5" s="9" t="s">
        <v>27</v>
      </c>
      <c r="L5" s="31">
        <f>IF('Samstag Haupt'!$S42="","",'Samstag Haupt'!$S42)</f>
        <v>43</v>
      </c>
      <c r="M5" s="30">
        <f>IF('Samstag Haupt'!$Q54="","",'Samstag Haupt'!$Q54)</f>
        <v>34</v>
      </c>
      <c r="N5" s="9" t="s">
        <v>27</v>
      </c>
      <c r="O5" s="31">
        <f>IF('Samstag Haupt'!$S54="","",'Samstag Haupt'!$S54)</f>
        <v>43</v>
      </c>
      <c r="P5" s="30">
        <f>IF('Samstag Haupt'!$Q30="","",'Samstag Haupt'!$Q30)</f>
        <v>34</v>
      </c>
      <c r="Q5" s="9" t="s">
        <v>27</v>
      </c>
      <c r="R5" s="31">
        <f>IF('Samstag Haupt'!$S30="","",'Samstag Haupt'!$S30)</f>
        <v>48</v>
      </c>
      <c r="S5" s="30">
        <f>IF(X6="","",SUM(D5,G5,J5,M5,P5))</f>
        <v>148</v>
      </c>
      <c r="T5" s="9" t="s">
        <v>27</v>
      </c>
      <c r="U5" s="31">
        <f>IF(X6="","",SUM(F5,I5,L5,O5,R5))</f>
        <v>175</v>
      </c>
      <c r="V5" s="26">
        <f>IF(X5="","",RANK(W6,($W$6,$W$8,$W$10,$W$12,$W$14),0))</f>
        <v>5</v>
      </c>
      <c r="X5" s="11" t="s">
        <v>29</v>
      </c>
      <c r="AA5">
        <v>1</v>
      </c>
      <c r="AB5" t="str">
        <f>IF(V5="","",IF($V$5=1,$C$5,IF($V$7=1,$C$7,IF($V$9=1,$C$9,IF($V$11=1,$C$11,IF($V$13=1,$C$13,0))))))</f>
        <v>Barmer TG</v>
      </c>
    </row>
    <row r="6" spans="2:24" ht="10.5" customHeight="1">
      <c r="B6" s="100"/>
      <c r="C6" s="28"/>
      <c r="D6" s="94"/>
      <c r="E6" s="95"/>
      <c r="F6" s="96"/>
      <c r="G6" s="13">
        <f>IF(G5="","",IF(G5&gt;I5,2,IF(G5&lt;I5,0,1)))</f>
        <v>0</v>
      </c>
      <c r="H6" s="7" t="s">
        <v>28</v>
      </c>
      <c r="I6" s="14">
        <f>IF(I5="","",IF(I5&gt;G5,2,IF(I5&lt;G5,0,1)))</f>
        <v>2</v>
      </c>
      <c r="J6" s="13">
        <f>IF(J5="","",IF(J5&gt;L5,2,IF(J5&lt;L5,0,1)))</f>
        <v>0</v>
      </c>
      <c r="K6" s="7" t="s">
        <v>28</v>
      </c>
      <c r="L6" s="14">
        <f>IF(L5="","",IF(L5&gt;J5,2,IF(L5&lt;J5,0,1)))</f>
        <v>2</v>
      </c>
      <c r="M6" s="13">
        <f>IF(M5="","",IF(M5&gt;O5,2,IF(M5&lt;O5,0,1)))</f>
        <v>0</v>
      </c>
      <c r="N6" s="7" t="s">
        <v>28</v>
      </c>
      <c r="O6" s="14">
        <f>IF(O5="","",IF(O5&gt;M5,2,IF(O5&lt;M5,0,1)))</f>
        <v>2</v>
      </c>
      <c r="P6" s="13">
        <f>IF(P5="","",IF(P5&gt;R5,2,IF(P5&lt;R5,0,1)))</f>
        <v>0</v>
      </c>
      <c r="Q6" s="7" t="s">
        <v>28</v>
      </c>
      <c r="R6" s="14">
        <f>IF(R5="","",IF(R5&gt;P5,2,IF(R5&lt;P5,0,1)))</f>
        <v>2</v>
      </c>
      <c r="S6" s="13">
        <f>IF(X6="","",SUM(D6,G6,J6,M6,P6))</f>
        <v>0</v>
      </c>
      <c r="T6" s="7" t="s">
        <v>28</v>
      </c>
      <c r="U6" s="14">
        <f>IF(X6="","",SUM(F6,I6,L6,O6,R6))</f>
        <v>8</v>
      </c>
      <c r="V6" s="15"/>
      <c r="W6" s="16">
        <f>+(S6-U6)+S5/U5+S6</f>
        <v>-7.154285714285714</v>
      </c>
      <c r="X6" s="11" t="s">
        <v>29</v>
      </c>
    </row>
    <row r="7" spans="2:28" ht="15" customHeight="1">
      <c r="B7" s="46" t="str">
        <f>IF(Daten!H6="","",Daten!H6)</f>
        <v>2.N</v>
      </c>
      <c r="C7" s="27" t="str">
        <f>IF(Daten!I6="","",Daten!I6)</f>
        <v>MTV Itzehoe</v>
      </c>
      <c r="D7" s="30">
        <f>IF(I5="","",I5)</f>
        <v>41</v>
      </c>
      <c r="E7" s="9" t="s">
        <v>27</v>
      </c>
      <c r="F7" s="31">
        <f>IF(G5="","",G5)</f>
        <v>40</v>
      </c>
      <c r="G7" s="91"/>
      <c r="H7" s="92"/>
      <c r="I7" s="93"/>
      <c r="J7" s="30">
        <f>IF('Samstag Haupt'!$Q34="","",'Samstag Haupt'!$Q34)</f>
        <v>40</v>
      </c>
      <c r="K7" s="9" t="s">
        <v>27</v>
      </c>
      <c r="L7" s="31">
        <f>IF('Samstag Haupt'!$S34="","",'Samstag Haupt'!$S34)</f>
        <v>37</v>
      </c>
      <c r="M7" s="30">
        <f>IF('Samstag Haupt'!$Q46="","",'Samstag Haupt'!$Q46)</f>
        <v>37</v>
      </c>
      <c r="N7" s="9" t="s">
        <v>27</v>
      </c>
      <c r="O7" s="31">
        <f>IF('Samstag Haupt'!$S46="","",'Samstag Haupt'!$S46)</f>
        <v>42</v>
      </c>
      <c r="P7" s="30">
        <f>IF('Samstag Haupt'!$Q58="","",'Samstag Haupt'!$Q58)</f>
        <v>35</v>
      </c>
      <c r="Q7" s="9" t="s">
        <v>27</v>
      </c>
      <c r="R7" s="31">
        <f>IF('Samstag Haupt'!$S58="","",'Samstag Haupt'!$S58)</f>
        <v>39</v>
      </c>
      <c r="S7" s="30">
        <f>IF(X8="","",SUM(D7,G7,J7,M7,P7))</f>
        <v>153</v>
      </c>
      <c r="T7" s="9" t="s">
        <v>27</v>
      </c>
      <c r="U7" s="31">
        <f>IF(X8="","",SUM(F7,I7,L7,O7,R7))</f>
        <v>158</v>
      </c>
      <c r="V7" s="6">
        <f>IF(X7="","",RANK(W8,($W$6,$W$8,$W$10,$W$12,$W$14),0))</f>
        <v>3</v>
      </c>
      <c r="X7" s="11" t="s">
        <v>29</v>
      </c>
      <c r="AA7">
        <v>2</v>
      </c>
      <c r="AB7" t="str">
        <f>IF(V7="","",IF($V$5=2,$C$5,IF($V$7=2,$C$7,IF($V$9=2,$C$9,IF($V$11=2,$C$11,IF($V$13=2,$C$13,0))))))</f>
        <v>TSV Ludwigshafen</v>
      </c>
    </row>
    <row r="8" spans="2:24" ht="10.5" customHeight="1">
      <c r="B8" s="100"/>
      <c r="C8" s="28"/>
      <c r="D8" s="13">
        <f>IF(D7="","",IF(D7&gt;F7,2,IF(D7&lt;F7,0,1)))</f>
        <v>2</v>
      </c>
      <c r="E8" s="7" t="s">
        <v>28</v>
      </c>
      <c r="F8" s="14">
        <f>IF(F7="","",IF(F7&gt;D7,2,IF(F7&lt;D7,0,1)))</f>
        <v>0</v>
      </c>
      <c r="G8" s="94"/>
      <c r="H8" s="95"/>
      <c r="I8" s="96"/>
      <c r="J8" s="13">
        <f>IF(J7="","",IF(J7&gt;L7,2,IF(J7&lt;L7,0,1)))</f>
        <v>2</v>
      </c>
      <c r="K8" s="7" t="s">
        <v>28</v>
      </c>
      <c r="L8" s="14">
        <f>IF(L7="","",IF(L7&gt;J7,2,IF(L7&lt;J7,0,1)))</f>
        <v>0</v>
      </c>
      <c r="M8" s="13">
        <f>IF(M7="","",IF(M7&gt;O7,2,IF(M7&lt;O7,0,1)))</f>
        <v>0</v>
      </c>
      <c r="N8" s="7" t="s">
        <v>28</v>
      </c>
      <c r="O8" s="14">
        <f>IF(O7="","",IF(O7&gt;M7,2,IF(O7&lt;M7,0,1)))</f>
        <v>2</v>
      </c>
      <c r="P8" s="13">
        <f>IF(P7="","",IF(P7&gt;R7,2,IF(P7&lt;R7,0,1)))</f>
        <v>0</v>
      </c>
      <c r="Q8" s="7" t="s">
        <v>28</v>
      </c>
      <c r="R8" s="14">
        <f>IF(R7="","",IF(R7&gt;P7,2,IF(R7&lt;P7,0,1)))</f>
        <v>2</v>
      </c>
      <c r="S8" s="13">
        <f>IF(X8="","",SUM(D8,G8,J8,M8,P8))</f>
        <v>4</v>
      </c>
      <c r="T8" s="7" t="s">
        <v>28</v>
      </c>
      <c r="U8" s="14">
        <f>IF(X8="","",SUM(F8,I8,L8,O8,R8))</f>
        <v>4</v>
      </c>
      <c r="V8" s="15"/>
      <c r="W8" s="16">
        <f>+(S8-U8)+S7/U7+S8</f>
        <v>4.968354430379747</v>
      </c>
      <c r="X8" s="11" t="s">
        <v>29</v>
      </c>
    </row>
    <row r="9" spans="2:28" ht="15" customHeight="1">
      <c r="B9" s="46" t="str">
        <f>IF(Daten!H7="","",Daten!H7)</f>
        <v>3.W</v>
      </c>
      <c r="C9" s="27" t="str">
        <f>IF(Daten!I7="","",Daten!I7)</f>
        <v>TV Berkenbaum</v>
      </c>
      <c r="D9" s="30">
        <f>IF(L5="","",L5)</f>
        <v>43</v>
      </c>
      <c r="E9" s="9" t="s">
        <v>27</v>
      </c>
      <c r="F9" s="31">
        <f>IF(J5="","",J5)</f>
        <v>40</v>
      </c>
      <c r="G9" s="30">
        <f>IF(L7="","",L7)</f>
        <v>37</v>
      </c>
      <c r="H9" s="9" t="s">
        <v>27</v>
      </c>
      <c r="I9" s="31">
        <f>IF(J7="","",J7)</f>
        <v>40</v>
      </c>
      <c r="J9" s="91"/>
      <c r="K9" s="92"/>
      <c r="L9" s="93"/>
      <c r="M9" s="30">
        <f>IF('Samstag Haupt'!$Q26="","",'Samstag Haupt'!$Q26)</f>
        <v>33</v>
      </c>
      <c r="N9" s="9" t="s">
        <v>27</v>
      </c>
      <c r="O9" s="31">
        <f>IF('Samstag Haupt'!$S26="","",'Samstag Haupt'!$S26)</f>
        <v>46</v>
      </c>
      <c r="P9" s="30">
        <f>IF('Samstag Haupt'!$Q50="","",'Samstag Haupt'!$Q50)</f>
        <v>35</v>
      </c>
      <c r="Q9" s="9" t="s">
        <v>27</v>
      </c>
      <c r="R9" s="31">
        <f>IF('Samstag Haupt'!$S50="","",'Samstag Haupt'!$S50)</f>
        <v>47</v>
      </c>
      <c r="S9" s="30">
        <f>IF(X10="","",SUM(D9,G9,J9,M9,P9))</f>
        <v>148</v>
      </c>
      <c r="T9" s="9" t="s">
        <v>27</v>
      </c>
      <c r="U9" s="31">
        <f>IF(X10="","",SUM(F9,I9,L9,O9,R9))</f>
        <v>173</v>
      </c>
      <c r="V9" s="6">
        <f>IF(X9="","",RANK(W10,($W$6,$W$8,$W$10,$W$12,$W$14),0))</f>
        <v>4</v>
      </c>
      <c r="X9" s="11" t="s">
        <v>29</v>
      </c>
      <c r="AA9">
        <v>3</v>
      </c>
      <c r="AB9" t="str">
        <f>IF(V9="","",IF($V$5=3,$C$5,IF($V$7=3,$C$7,IF($V$9=3,$C$9,IF($V$11=3,$C$11,IF($V$13=3,$C$13,0))))))</f>
        <v>MTV Itzehoe</v>
      </c>
    </row>
    <row r="10" spans="2:24" ht="10.5" customHeight="1">
      <c r="B10" s="101"/>
      <c r="C10" s="28"/>
      <c r="D10" s="13">
        <f>IF(D9="","",IF(D9&gt;F9,2,IF(D9&lt;F9,0,1)))</f>
        <v>2</v>
      </c>
      <c r="E10" s="7" t="s">
        <v>28</v>
      </c>
      <c r="F10" s="14">
        <f>IF(F9="","",IF(F9&gt;D9,2,IF(F9&lt;D9,0,1)))</f>
        <v>0</v>
      </c>
      <c r="G10" s="13">
        <f>IF(G9="","",IF(G9&gt;I9,2,IF(G9&lt;I9,0,1)))</f>
        <v>0</v>
      </c>
      <c r="H10" s="7" t="s">
        <v>28</v>
      </c>
      <c r="I10" s="14">
        <f>IF(I9="","",IF(I9&gt;G9,2,IF(I9&lt;G9,0,1)))</f>
        <v>2</v>
      </c>
      <c r="J10" s="94"/>
      <c r="K10" s="95"/>
      <c r="L10" s="96"/>
      <c r="M10" s="13">
        <f>IF(M9="","",IF(M9&gt;O9,2,IF(M9&lt;O9,0,1)))</f>
        <v>0</v>
      </c>
      <c r="N10" s="7" t="s">
        <v>28</v>
      </c>
      <c r="O10" s="14">
        <f>IF(O9="","",IF(O9&gt;M9,2,IF(O9&lt;M9,0,1)))</f>
        <v>2</v>
      </c>
      <c r="P10" s="13">
        <f>IF(P9="","",IF(P9&gt;R9,2,IF(P9&lt;R9,0,1)))</f>
        <v>0</v>
      </c>
      <c r="Q10" s="7" t="s">
        <v>28</v>
      </c>
      <c r="R10" s="14">
        <f>IF(R9="","",IF(R9&gt;P9,2,IF(R9&lt;P9,0,1)))</f>
        <v>2</v>
      </c>
      <c r="S10" s="13">
        <f>IF(X10="","",SUM(D10,G10,J10,M10,P10))</f>
        <v>2</v>
      </c>
      <c r="T10" s="7" t="s">
        <v>28</v>
      </c>
      <c r="U10" s="14">
        <f>IF(X10="","",SUM(F10,I10,L10,O10,R10))</f>
        <v>6</v>
      </c>
      <c r="V10" s="15"/>
      <c r="W10" s="16">
        <f>+(S10-U10)+S9/U9+S10</f>
        <v>-1.1445086705202314</v>
      </c>
      <c r="X10" s="11" t="s">
        <v>29</v>
      </c>
    </row>
    <row r="11" spans="2:28" ht="15" customHeight="1">
      <c r="B11" s="46" t="str">
        <f>IF(Daten!H8="","",Daten!H8)</f>
        <v>1.W</v>
      </c>
      <c r="C11" s="27" t="str">
        <f>IF(Daten!I8="","",Daten!I8)</f>
        <v>Barmer TG</v>
      </c>
      <c r="D11" s="30">
        <f>IF(O5="","",O5)</f>
        <v>43</v>
      </c>
      <c r="E11" s="9" t="s">
        <v>27</v>
      </c>
      <c r="F11" s="31">
        <f>IF(M5="","",M5)</f>
        <v>34</v>
      </c>
      <c r="G11" s="30">
        <f>IF(O7="","",O7)</f>
        <v>42</v>
      </c>
      <c r="H11" s="9" t="s">
        <v>27</v>
      </c>
      <c r="I11" s="31">
        <f>IF(M7="","",M7)</f>
        <v>37</v>
      </c>
      <c r="J11" s="30">
        <f>IF(O9="","",O9)</f>
        <v>46</v>
      </c>
      <c r="K11" s="9" t="s">
        <v>27</v>
      </c>
      <c r="L11" s="31">
        <f>IF(M9="","",M9)</f>
        <v>33</v>
      </c>
      <c r="M11" s="91"/>
      <c r="N11" s="92"/>
      <c r="O11" s="93"/>
      <c r="P11" s="30">
        <f>IF('Samstag Haupt'!$Q38="","",'Samstag Haupt'!$Q38)</f>
        <v>44</v>
      </c>
      <c r="Q11" s="9" t="s">
        <v>27</v>
      </c>
      <c r="R11" s="31">
        <f>IF('Samstag Haupt'!$S38="","",'Samstag Haupt'!$S38)</f>
        <v>38</v>
      </c>
      <c r="S11" s="30">
        <f>IF(X12="","",SUM(D11,G11,J11,M11,P11))</f>
        <v>175</v>
      </c>
      <c r="T11" s="9" t="s">
        <v>27</v>
      </c>
      <c r="U11" s="31">
        <f>IF(X12="","",SUM(F11,I11,L11,O11,R11))</f>
        <v>142</v>
      </c>
      <c r="V11" s="6">
        <f>IF(X11="","",RANK(W12,($W$6,$W$8,$W$10,$W$12,$W$14),0))</f>
        <v>1</v>
      </c>
      <c r="X11" s="11" t="s">
        <v>29</v>
      </c>
      <c r="AA11">
        <v>4</v>
      </c>
      <c r="AB11" t="str">
        <f>IF(V11="","",IF($V$5=4,$C$5,IF($V$7=4,$C$7,IF($V$9=4,$C$9,IF($V$11=4,$C$11,IF($V$13=4,$C$13,0))))))</f>
        <v>TV Berkenbaum</v>
      </c>
    </row>
    <row r="12" spans="2:24" ht="10.5" customHeight="1">
      <c r="B12" s="101"/>
      <c r="C12" s="28"/>
      <c r="D12" s="13">
        <f>IF(D11="","",IF(D11&gt;F11,2,IF(D11&lt;F11,0,1)))</f>
        <v>2</v>
      </c>
      <c r="E12" s="7" t="s">
        <v>28</v>
      </c>
      <c r="F12" s="14">
        <f>IF(F11="","",IF(F11&gt;D11,2,IF(F11&lt;D11,0,1)))</f>
        <v>0</v>
      </c>
      <c r="G12" s="13">
        <f>IF(G11="","",IF(G11&gt;I11,2,IF(G11&lt;I11,0,1)))</f>
        <v>2</v>
      </c>
      <c r="H12" s="7" t="s">
        <v>28</v>
      </c>
      <c r="I12" s="14">
        <f>IF(I11="","",IF(I11&gt;G11,2,IF(I11&lt;G11,0,1)))</f>
        <v>0</v>
      </c>
      <c r="J12" s="13">
        <f>IF(J11="","",IF(J11&gt;L11,2,IF(J11&lt;L11,0,1)))</f>
        <v>2</v>
      </c>
      <c r="K12" s="7" t="s">
        <v>28</v>
      </c>
      <c r="L12" s="14">
        <f>IF(L11="","",IF(L11&gt;J11,2,IF(L11&lt;J11,0,1)))</f>
        <v>0</v>
      </c>
      <c r="M12" s="94"/>
      <c r="N12" s="95"/>
      <c r="O12" s="96"/>
      <c r="P12" s="13">
        <f>IF(P11="","",IF(P11&gt;R11,2,IF(P11&lt;R11,0,1)))</f>
        <v>2</v>
      </c>
      <c r="Q12" s="7" t="s">
        <v>28</v>
      </c>
      <c r="R12" s="14">
        <f>IF(R11="","",IF(R11&gt;P11,2,IF(R11&lt;P11,0,1)))</f>
        <v>0</v>
      </c>
      <c r="S12" s="13">
        <f>IF(X12="","",SUM(D12,G12,J12,M12,P12))</f>
        <v>8</v>
      </c>
      <c r="T12" s="7" t="s">
        <v>28</v>
      </c>
      <c r="U12" s="14">
        <f>IF(X12="","",SUM(F12,I12,L12,O12,R12))</f>
        <v>0</v>
      </c>
      <c r="V12" s="15"/>
      <c r="W12" s="16">
        <f>+(S12-U12)+S11/U11+S12</f>
        <v>17.232394366197184</v>
      </c>
      <c r="X12" s="11" t="s">
        <v>29</v>
      </c>
    </row>
    <row r="13" spans="2:28" ht="15" customHeight="1">
      <c r="B13" s="46" t="str">
        <f>IF(Daten!H9="","",Daten!H9)</f>
        <v>1.S</v>
      </c>
      <c r="C13" s="27" t="str">
        <f>IF(Daten!I9="","",Daten!I9)</f>
        <v>TSV Ludwigshafen</v>
      </c>
      <c r="D13" s="30">
        <f>IF(R5="","",R5)</f>
        <v>48</v>
      </c>
      <c r="E13" s="9" t="s">
        <v>27</v>
      </c>
      <c r="F13" s="31">
        <f>IF(P5="","",P5)</f>
        <v>34</v>
      </c>
      <c r="G13" s="30">
        <f>IF(R7="","",R7)</f>
        <v>39</v>
      </c>
      <c r="H13" s="9" t="s">
        <v>27</v>
      </c>
      <c r="I13" s="31">
        <f>IF(P7="","",P7)</f>
        <v>35</v>
      </c>
      <c r="J13" s="30">
        <f>IF(R9="","",R9)</f>
        <v>47</v>
      </c>
      <c r="K13" s="9" t="s">
        <v>27</v>
      </c>
      <c r="L13" s="31">
        <f>IF(P9="","",P9)</f>
        <v>35</v>
      </c>
      <c r="M13" s="30">
        <f>IF(R11="","",R11)</f>
        <v>38</v>
      </c>
      <c r="N13" s="9" t="s">
        <v>27</v>
      </c>
      <c r="O13" s="31">
        <f>IF(P11="","",P11)</f>
        <v>44</v>
      </c>
      <c r="P13" s="91"/>
      <c r="Q13" s="92"/>
      <c r="R13" s="93"/>
      <c r="S13" s="30">
        <f>IF(X14="","",SUM(D13,G13,J13,M13,P13))</f>
        <v>172</v>
      </c>
      <c r="T13" s="9" t="s">
        <v>27</v>
      </c>
      <c r="U13" s="31">
        <f>IF(X14="","",SUM(F13,I13,L13,O13,R13))</f>
        <v>148</v>
      </c>
      <c r="V13" s="6">
        <f>IF(X13="","",RANK(W14,($W$6,$W$8,$W$10,$W$12,$W$14),0))</f>
        <v>2</v>
      </c>
      <c r="X13" s="11" t="s">
        <v>29</v>
      </c>
      <c r="AA13">
        <v>5</v>
      </c>
      <c r="AB13" t="str">
        <f>IF(V13="","",IF($V$5=5,$C$5,IF($V$7=5,$C$7,IF($V$9=5,$C$9,IF($V$11=5,$C$11,IF($V$13=5,$C$13,0))))))</f>
        <v>VfL Oldenburg</v>
      </c>
    </row>
    <row r="14" spans="2:24" ht="10.5" customHeight="1">
      <c r="B14" s="101"/>
      <c r="C14" s="29"/>
      <c r="D14" s="13">
        <f>IF(D13="","",IF(D13&gt;F13,2,IF(D13&lt;F13,0,1)))</f>
        <v>2</v>
      </c>
      <c r="E14" s="7" t="s">
        <v>28</v>
      </c>
      <c r="F14" s="14">
        <f>IF(F13="","",IF(F13&gt;D13,2,IF(F13&lt;D13,0,1)))</f>
        <v>0</v>
      </c>
      <c r="G14" s="13">
        <f>IF(G13="","",IF(G13&gt;I13,2,IF(G13&lt;I13,0,1)))</f>
        <v>2</v>
      </c>
      <c r="H14" s="7" t="s">
        <v>28</v>
      </c>
      <c r="I14" s="14">
        <f>IF(I13="","",IF(I13&gt;G13,2,IF(I13&lt;G13,0,1)))</f>
        <v>0</v>
      </c>
      <c r="J14" s="13">
        <f>IF(J13="","",IF(J13&gt;L13,2,IF(J13&lt;L13,0,1)))</f>
        <v>2</v>
      </c>
      <c r="K14" s="7" t="s">
        <v>28</v>
      </c>
      <c r="L14" s="14">
        <f>IF(L13="","",IF(L13&gt;J13,2,IF(L13&lt;J13,0,1)))</f>
        <v>0</v>
      </c>
      <c r="M14" s="13">
        <f>IF(M13="","",IF(M13&gt;O13,2,IF(M13&lt;O13,0,1)))</f>
        <v>0</v>
      </c>
      <c r="N14" s="7" t="s">
        <v>28</v>
      </c>
      <c r="O14" s="14">
        <f>IF(O13="","",IF(O13&gt;M13,2,IF(O13&lt;M13,0,1)))</f>
        <v>2</v>
      </c>
      <c r="P14" s="94"/>
      <c r="Q14" s="95"/>
      <c r="R14" s="96"/>
      <c r="S14" s="13">
        <f>IF(X14="","",SUM(D14,G14,J14,M14,P14))</f>
        <v>6</v>
      </c>
      <c r="T14" s="7" t="s">
        <v>28</v>
      </c>
      <c r="U14" s="14">
        <f>IF(X14="","",SUM(F14,I14,L14,O14,R14))</f>
        <v>2</v>
      </c>
      <c r="V14" s="15"/>
      <c r="W14" s="16">
        <f>+(S14-U14)+S13/U13+S14</f>
        <v>11.162162162162161</v>
      </c>
      <c r="X14" s="11" t="s">
        <v>29</v>
      </c>
    </row>
    <row r="15" spans="2:24" ht="9.75" customHeight="1">
      <c r="B15" s="41"/>
      <c r="C15" s="41"/>
      <c r="D15" s="42"/>
      <c r="E15" s="9"/>
      <c r="F15" s="43"/>
      <c r="G15" s="42"/>
      <c r="H15" s="9"/>
      <c r="I15" s="43"/>
      <c r="J15" s="42"/>
      <c r="K15" s="9"/>
      <c r="L15" s="43"/>
      <c r="M15" s="42"/>
      <c r="N15" s="9"/>
      <c r="O15" s="43"/>
      <c r="P15" s="18"/>
      <c r="Q15" s="18"/>
      <c r="R15" s="18"/>
      <c r="S15" s="42"/>
      <c r="T15" s="9"/>
      <c r="U15" s="43"/>
      <c r="V15" s="5"/>
      <c r="W15" s="16"/>
      <c r="X15" s="11"/>
    </row>
    <row r="16" spans="2:24" ht="9.75" customHeight="1" outlineLevel="1">
      <c r="B16" s="103" t="s">
        <v>30</v>
      </c>
      <c r="C16" s="32" t="str">
        <f>+C5</f>
        <v>VfL Oldenburg</v>
      </c>
      <c r="D16" s="33"/>
      <c r="E16" s="142"/>
      <c r="F16" s="34"/>
      <c r="G16" s="35"/>
      <c r="H16" s="36" t="s">
        <v>27</v>
      </c>
      <c r="I16" s="37"/>
      <c r="J16" s="35"/>
      <c r="K16" s="36" t="s">
        <v>27</v>
      </c>
      <c r="L16" s="37"/>
      <c r="M16" s="35"/>
      <c r="N16" s="36" t="s">
        <v>27</v>
      </c>
      <c r="O16" s="37"/>
      <c r="P16" s="38"/>
      <c r="Q16" s="36" t="s">
        <v>27</v>
      </c>
      <c r="R16" s="110"/>
      <c r="S16" s="22"/>
      <c r="T16" s="23"/>
      <c r="U16" s="24"/>
      <c r="V16" s="25"/>
      <c r="W16" s="16"/>
      <c r="X16" s="11"/>
    </row>
    <row r="17" spans="2:24" ht="9.75" customHeight="1" outlineLevel="1">
      <c r="B17" s="21"/>
      <c r="C17" s="32" t="str">
        <f>+C7</f>
        <v>MTV Itzehoe</v>
      </c>
      <c r="D17" s="35">
        <f>IF(I16="","",I16)</f>
      </c>
      <c r="E17" s="36" t="s">
        <v>27</v>
      </c>
      <c r="F17" s="37">
        <f>IF(G16="","",G16)</f>
      </c>
      <c r="G17" s="33"/>
      <c r="H17" s="142"/>
      <c r="I17" s="34"/>
      <c r="J17" s="35"/>
      <c r="K17" s="36" t="s">
        <v>27</v>
      </c>
      <c r="L17" s="37"/>
      <c r="M17" s="35"/>
      <c r="N17" s="36" t="s">
        <v>27</v>
      </c>
      <c r="O17" s="37"/>
      <c r="P17" s="38"/>
      <c r="Q17" s="36" t="s">
        <v>27</v>
      </c>
      <c r="R17" s="110"/>
      <c r="S17" s="22"/>
      <c r="T17" s="23"/>
      <c r="U17" s="24"/>
      <c r="V17" s="25"/>
      <c r="W17" s="16"/>
      <c r="X17" s="11"/>
    </row>
    <row r="18" spans="2:24" ht="9.75" customHeight="1" outlineLevel="1">
      <c r="B18" s="21"/>
      <c r="C18" s="32" t="str">
        <f>+C9</f>
        <v>TV Berkenbaum</v>
      </c>
      <c r="D18" s="35">
        <f>IF(L16="","",L16)</f>
      </c>
      <c r="E18" s="36" t="s">
        <v>27</v>
      </c>
      <c r="F18" s="37">
        <f>IF(J16="","",J16)</f>
      </c>
      <c r="G18" s="35">
        <f>IF(L17="","",L17)</f>
      </c>
      <c r="H18" s="36" t="s">
        <v>27</v>
      </c>
      <c r="I18" s="37">
        <f>IF(J17="","",J17)</f>
      </c>
      <c r="J18" s="33"/>
      <c r="K18" s="142"/>
      <c r="L18" s="34"/>
      <c r="M18" s="35"/>
      <c r="N18" s="36" t="s">
        <v>27</v>
      </c>
      <c r="O18" s="37"/>
      <c r="P18" s="38"/>
      <c r="Q18" s="36" t="s">
        <v>27</v>
      </c>
      <c r="R18" s="110"/>
      <c r="S18" s="22"/>
      <c r="T18" s="23"/>
      <c r="U18" s="24"/>
      <c r="V18" s="25"/>
      <c r="W18" s="16"/>
      <c r="X18" s="11"/>
    </row>
    <row r="19" spans="2:24" ht="9.75" customHeight="1" outlineLevel="1">
      <c r="B19" s="21"/>
      <c r="C19" s="32" t="str">
        <f>+C11</f>
        <v>Barmer TG</v>
      </c>
      <c r="D19" s="35">
        <f>IF(O16="","",O16)</f>
      </c>
      <c r="E19" s="36" t="s">
        <v>27</v>
      </c>
      <c r="F19" s="37">
        <f>IF(M16="","",M16)</f>
      </c>
      <c r="G19" s="35">
        <f>IF(O17="","",O17)</f>
      </c>
      <c r="H19" s="36" t="s">
        <v>27</v>
      </c>
      <c r="I19" s="37">
        <f>IF(M17="","",M17)</f>
      </c>
      <c r="J19" s="35">
        <f>IF(O18="","",O18)</f>
      </c>
      <c r="K19" s="36" t="s">
        <v>27</v>
      </c>
      <c r="L19" s="37">
        <f>IF(M18="","",M18)</f>
      </c>
      <c r="M19" s="33"/>
      <c r="N19" s="142"/>
      <c r="O19" s="34"/>
      <c r="P19" s="38"/>
      <c r="Q19" s="36" t="s">
        <v>27</v>
      </c>
      <c r="R19" s="110"/>
      <c r="S19" s="22"/>
      <c r="T19" s="23"/>
      <c r="U19" s="24"/>
      <c r="V19" s="25"/>
      <c r="W19" s="16"/>
      <c r="X19" s="11"/>
    </row>
    <row r="20" spans="2:24" ht="9.75" customHeight="1" outlineLevel="1">
      <c r="B20" s="21"/>
      <c r="C20" s="32" t="str">
        <f>+C13</f>
        <v>TSV Ludwigshafen</v>
      </c>
      <c r="D20" s="35">
        <f>IF(R16="","",R16)</f>
      </c>
      <c r="E20" s="36" t="s">
        <v>27</v>
      </c>
      <c r="F20" s="37">
        <f>IF(P16="","",P16)</f>
      </c>
      <c r="G20" s="35">
        <f>IF(R17="","",R17)</f>
      </c>
      <c r="H20" s="36" t="s">
        <v>27</v>
      </c>
      <c r="I20" s="37">
        <f>IF(P17="","",P17)</f>
      </c>
      <c r="J20" s="35">
        <f>IF(R18="","",R18)</f>
      </c>
      <c r="K20" s="36" t="s">
        <v>27</v>
      </c>
      <c r="L20" s="37">
        <f>IF(P18="","",P18)</f>
      </c>
      <c r="M20" s="35">
        <f>IF(R19="","",R19)</f>
      </c>
      <c r="N20" s="36" t="s">
        <v>27</v>
      </c>
      <c r="O20" s="37">
        <f>IF(P19="","",P19)</f>
      </c>
      <c r="P20" s="33"/>
      <c r="Q20" s="194"/>
      <c r="R20" s="34"/>
      <c r="S20" s="22"/>
      <c r="T20" s="23"/>
      <c r="U20" s="24"/>
      <c r="V20" s="25"/>
      <c r="W20" s="16"/>
      <c r="X20" s="11"/>
    </row>
    <row r="22" spans="2:22" ht="12.75" customHeight="1">
      <c r="B22" s="130"/>
      <c r="C22" s="69" t="str">
        <f>+Daten!L4</f>
        <v>Gruppe K</v>
      </c>
      <c r="D22" s="19"/>
      <c r="E22" s="48" t="str">
        <f>+C23</f>
        <v>VSK Osterholz Scharmbeck</v>
      </c>
      <c r="F22" s="20"/>
      <c r="G22" s="19"/>
      <c r="H22" s="48" t="str">
        <f>+C25</f>
        <v>MTV Wohnste</v>
      </c>
      <c r="I22" s="20"/>
      <c r="J22" s="19"/>
      <c r="K22" s="48" t="str">
        <f>+C27</f>
        <v>TV Wertheim</v>
      </c>
      <c r="L22" s="20"/>
      <c r="M22" s="19"/>
      <c r="N22" s="48" t="str">
        <f>+C29</f>
        <v>TG Giengen</v>
      </c>
      <c r="O22" s="20"/>
      <c r="P22" s="19"/>
      <c r="Q22" s="48" t="str">
        <f>+C31</f>
        <v>Betzdorfer TV</v>
      </c>
      <c r="R22" s="20"/>
      <c r="S22" s="19"/>
      <c r="T22" s="51" t="s">
        <v>24</v>
      </c>
      <c r="U22" s="20"/>
      <c r="V22" s="52" t="s">
        <v>25</v>
      </c>
    </row>
    <row r="23" spans="2:28" ht="15" customHeight="1">
      <c r="B23" s="46" t="str">
        <f>IF(Daten!K5="","",Daten!K5)</f>
        <v>3.N</v>
      </c>
      <c r="C23" s="27" t="str">
        <f>IF(Daten!L5="","",Daten!L5)</f>
        <v>VSK Osterholz Scharmbeck</v>
      </c>
      <c r="D23" s="91"/>
      <c r="E23" s="92"/>
      <c r="F23" s="93"/>
      <c r="G23" s="30">
        <f>IF('Samstag Haupt'!$Q23="","",'Samstag Haupt'!$Q23)</f>
        <v>48</v>
      </c>
      <c r="H23" s="9" t="s">
        <v>27</v>
      </c>
      <c r="I23" s="31">
        <f>IF('Samstag Haupt'!$S23="","",'Samstag Haupt'!$S23)</f>
        <v>40</v>
      </c>
      <c r="J23" s="30">
        <f>IF('Samstag Haupt'!$Q43="","",'Samstag Haupt'!$Q43)</f>
        <v>33</v>
      </c>
      <c r="K23" s="9" t="s">
        <v>27</v>
      </c>
      <c r="L23" s="31">
        <f>IF('Samstag Haupt'!$S43="","",'Samstag Haupt'!$S43)</f>
        <v>43</v>
      </c>
      <c r="M23" s="30">
        <f>IF('Samstag Haupt'!$Q55="","",'Samstag Haupt'!$Q55)</f>
        <v>32</v>
      </c>
      <c r="N23" s="9" t="s">
        <v>27</v>
      </c>
      <c r="O23" s="31">
        <f>IF('Samstag Haupt'!$S55="","",'Samstag Haupt'!$S55)</f>
        <v>47</v>
      </c>
      <c r="P23" s="30">
        <f>IF('Samstag Haupt'!$Q31="","",'Samstag Haupt'!$Q31)</f>
        <v>46</v>
      </c>
      <c r="Q23" s="9" t="s">
        <v>27</v>
      </c>
      <c r="R23" s="31">
        <f>IF('Samstag Haupt'!$S31="","",'Samstag Haupt'!$S31)</f>
        <v>42</v>
      </c>
      <c r="S23" s="30">
        <f>IF(X24="","",SUM(D23,G23,J23,M23,P23))</f>
        <v>159</v>
      </c>
      <c r="T23" s="9" t="s">
        <v>27</v>
      </c>
      <c r="U23" s="31">
        <f>IF(X24="","",SUM(F23,I23,L23,O23,R23))</f>
        <v>172</v>
      </c>
      <c r="V23" s="26">
        <f>IF(X23="","",RANK(W24,($W$24,$W$26,$W$28,$W$30,$W$32),0))</f>
        <v>3</v>
      </c>
      <c r="X23" s="11" t="s">
        <v>29</v>
      </c>
      <c r="AA23">
        <v>1</v>
      </c>
      <c r="AB23" t="str">
        <f>IF(V23="","",IF($V$23=1,$C$23,IF($V$25=1,$C$25,IF($V$27=1,$C$27,IF($V$29=1,$C$29,IF($V$31=1,$C$31,0))))))</f>
        <v>TG Giengen</v>
      </c>
    </row>
    <row r="24" spans="2:24" ht="10.5" customHeight="1">
      <c r="B24" s="97"/>
      <c r="C24" s="12"/>
      <c r="D24" s="94"/>
      <c r="E24" s="95"/>
      <c r="F24" s="96"/>
      <c r="G24" s="13">
        <f>IF(G23="","",IF(G23&gt;I23,2,IF(G23&lt;I23,0,1)))</f>
        <v>2</v>
      </c>
      <c r="H24" s="7" t="s">
        <v>28</v>
      </c>
      <c r="I24" s="14">
        <f>IF(I23="","",IF(I23&gt;G23,2,IF(I23&lt;G23,0,1)))</f>
        <v>0</v>
      </c>
      <c r="J24" s="13">
        <f>IF(J23="","",IF(J23&gt;L23,2,IF(J23&lt;L23,0,1)))</f>
        <v>0</v>
      </c>
      <c r="K24" s="7" t="s">
        <v>28</v>
      </c>
      <c r="L24" s="14">
        <f>IF(L23="","",IF(L23&gt;J23,2,IF(L23&lt;J23,0,1)))</f>
        <v>2</v>
      </c>
      <c r="M24" s="13">
        <f>IF(M23="","",IF(M23&gt;O23,2,IF(M23&lt;O23,0,1)))</f>
        <v>0</v>
      </c>
      <c r="N24" s="7" t="s">
        <v>28</v>
      </c>
      <c r="O24" s="14">
        <f>IF(O23="","",IF(O23&gt;M23,2,IF(O23&lt;M23,0,1)))</f>
        <v>2</v>
      </c>
      <c r="P24" s="13">
        <f>IF(P23="","",IF(P23&gt;R23,2,IF(P23&lt;R23,0,1)))</f>
        <v>2</v>
      </c>
      <c r="Q24" s="7" t="s">
        <v>28</v>
      </c>
      <c r="R24" s="14">
        <f>IF(R23="","",IF(R23&gt;P23,2,IF(R23&lt;P23,0,1)))</f>
        <v>0</v>
      </c>
      <c r="S24" s="13">
        <f>IF(X24="","",SUM(D24,G24,J24,M24,P24))</f>
        <v>4</v>
      </c>
      <c r="T24" s="7" t="s">
        <v>28</v>
      </c>
      <c r="U24" s="14">
        <f>IF(X24="","",SUM(F24,I24,L24,O24,R24))</f>
        <v>4</v>
      </c>
      <c r="V24" s="15"/>
      <c r="W24" s="16">
        <f>+(S24-U24)+S23/U23+S24</f>
        <v>4.924418604651163</v>
      </c>
      <c r="X24" s="11" t="s">
        <v>29</v>
      </c>
    </row>
    <row r="25" spans="2:28" ht="15" customHeight="1">
      <c r="B25" s="46" t="str">
        <f>IF(Daten!K6="","",Daten!K6)</f>
        <v>1.N</v>
      </c>
      <c r="C25" s="27" t="str">
        <f>IF(Daten!L6="","",Daten!L6)</f>
        <v>MTV Wohnste</v>
      </c>
      <c r="D25" s="30">
        <f>IF(I23="","",I23)</f>
        <v>40</v>
      </c>
      <c r="E25" s="9" t="s">
        <v>27</v>
      </c>
      <c r="F25" s="31">
        <f>IF(G23="","",G23)</f>
        <v>48</v>
      </c>
      <c r="G25" s="91"/>
      <c r="H25" s="92"/>
      <c r="I25" s="93"/>
      <c r="J25" s="30">
        <f>IF('Samstag Haupt'!$Q35="","",'Samstag Haupt'!$Q35)</f>
        <v>31</v>
      </c>
      <c r="K25" s="9" t="s">
        <v>27</v>
      </c>
      <c r="L25" s="31">
        <f>IF('Samstag Haupt'!$S35="","",'Samstag Haupt'!$S35)</f>
        <v>37</v>
      </c>
      <c r="M25" s="30">
        <f>IF('Samstag Haupt'!$Q47="","",'Samstag Haupt'!$Q47)</f>
        <v>31</v>
      </c>
      <c r="N25" s="9" t="s">
        <v>27</v>
      </c>
      <c r="O25" s="31">
        <f>IF('Samstag Haupt'!$S47="","",'Samstag Haupt'!$S47)</f>
        <v>40</v>
      </c>
      <c r="P25" s="30">
        <f>IF('Samstag Haupt'!$Q59="","",'Samstag Haupt'!$Q59)</f>
        <v>48</v>
      </c>
      <c r="Q25" s="9" t="s">
        <v>27</v>
      </c>
      <c r="R25" s="31">
        <f>IF('Samstag Haupt'!$S59="","",'Samstag Haupt'!$S59)</f>
        <v>29</v>
      </c>
      <c r="S25" s="30">
        <f>IF(X26="","",SUM(D25,G25,J25,M25,P25))</f>
        <v>150</v>
      </c>
      <c r="T25" s="9" t="s">
        <v>27</v>
      </c>
      <c r="U25" s="31">
        <f>IF(X26="","",SUM(F25,I25,L25,O25,R25))</f>
        <v>154</v>
      </c>
      <c r="V25" s="6">
        <f>IF(X25="","",RANK(W26,($W$24,$W$26,$W$28,$W$30,$W$32),0))</f>
        <v>4</v>
      </c>
      <c r="X25" s="11" t="s">
        <v>29</v>
      </c>
      <c r="AA25">
        <v>2</v>
      </c>
      <c r="AB25" t="str">
        <f>IF(V25="","",IF($V$23=2,$C$23,IF($V$25=2,$C$25,IF($V$27=2,$C$27,IF($V$29=2,$C$29,IF($V$31=2,$C$31,0))))))</f>
        <v>TV Wertheim</v>
      </c>
    </row>
    <row r="26" spans="2:24" ht="10.5" customHeight="1">
      <c r="B26" s="97"/>
      <c r="C26" s="12"/>
      <c r="D26" s="13">
        <f>IF(D25="","",IF(D25&gt;F25,2,IF(D25&lt;F25,0,1)))</f>
        <v>0</v>
      </c>
      <c r="E26" s="7" t="s">
        <v>28</v>
      </c>
      <c r="F26" s="14">
        <f>IF(F25="","",IF(F25&gt;D25,2,IF(F25&lt;D25,0,1)))</f>
        <v>2</v>
      </c>
      <c r="G26" s="94"/>
      <c r="H26" s="95"/>
      <c r="I26" s="96"/>
      <c r="J26" s="13">
        <f>IF(J25="","",IF(J25&gt;L25,2,IF(J25&lt;L25,0,1)))</f>
        <v>0</v>
      </c>
      <c r="K26" s="7" t="s">
        <v>28</v>
      </c>
      <c r="L26" s="14">
        <f>IF(L25="","",IF(L25&gt;J25,2,IF(L25&lt;J25,0,1)))</f>
        <v>2</v>
      </c>
      <c r="M26" s="13">
        <f>IF(M25="","",IF(M25&gt;O25,2,IF(M25&lt;O25,0,1)))</f>
        <v>0</v>
      </c>
      <c r="N26" s="7" t="s">
        <v>28</v>
      </c>
      <c r="O26" s="14">
        <f>IF(O25="","",IF(O25&gt;M25,2,IF(O25&lt;M25,0,1)))</f>
        <v>2</v>
      </c>
      <c r="P26" s="13">
        <f>IF(P25="","",IF(P25&gt;R25,2,IF(P25&lt;R25,0,1)))</f>
        <v>2</v>
      </c>
      <c r="Q26" s="7" t="s">
        <v>28</v>
      </c>
      <c r="R26" s="14">
        <f>IF(R25="","",IF(R25&gt;P25,2,IF(R25&lt;P25,0,1)))</f>
        <v>0</v>
      </c>
      <c r="S26" s="13">
        <f>IF(X26="","",SUM(D26,G26,J26,M26,P26))</f>
        <v>2</v>
      </c>
      <c r="T26" s="7" t="s">
        <v>28</v>
      </c>
      <c r="U26" s="14">
        <f>IF(X26="","",SUM(F26,I26,L26,O26,R26))</f>
        <v>6</v>
      </c>
      <c r="V26" s="15"/>
      <c r="W26" s="16">
        <f>+(S26-U26)+S25/U25+S26</f>
        <v>-1.0259740259740262</v>
      </c>
      <c r="X26" s="11" t="s">
        <v>29</v>
      </c>
    </row>
    <row r="27" spans="2:28" ht="15" customHeight="1">
      <c r="B27" s="46" t="str">
        <f>IF(Daten!K7="","",Daten!K7)</f>
        <v>3.S</v>
      </c>
      <c r="C27" s="27" t="str">
        <f>IF(Daten!L7="","",Daten!L7)</f>
        <v>TV Wertheim</v>
      </c>
      <c r="D27" s="30">
        <f>IF(L23="","",L23)</f>
        <v>43</v>
      </c>
      <c r="E27" s="9" t="s">
        <v>27</v>
      </c>
      <c r="F27" s="31">
        <f>IF(J23="","",J23)</f>
        <v>33</v>
      </c>
      <c r="G27" s="30">
        <f>IF(L25="","",L25)</f>
        <v>37</v>
      </c>
      <c r="H27" s="9" t="s">
        <v>27</v>
      </c>
      <c r="I27" s="31">
        <f>IF(J25="","",J25)</f>
        <v>31</v>
      </c>
      <c r="J27" s="91"/>
      <c r="K27" s="92"/>
      <c r="L27" s="93"/>
      <c r="M27" s="30">
        <f>IF('Samstag Haupt'!$Q27="","",'Samstag Haupt'!$Q27)</f>
        <v>35</v>
      </c>
      <c r="N27" s="9" t="s">
        <v>27</v>
      </c>
      <c r="O27" s="31">
        <f>IF('Samstag Haupt'!$S27="","",'Samstag Haupt'!$S27)</f>
        <v>40</v>
      </c>
      <c r="P27" s="30">
        <f>IF('Samstag Haupt'!$Q51="","",'Samstag Haupt'!$Q51)</f>
        <v>46</v>
      </c>
      <c r="Q27" s="9" t="s">
        <v>27</v>
      </c>
      <c r="R27" s="31">
        <f>IF('Samstag Haupt'!$S51="","",'Samstag Haupt'!$S51)</f>
        <v>24</v>
      </c>
      <c r="S27" s="30">
        <f>IF(X28="","",SUM(D27,G27,J27,M27,P27))</f>
        <v>161</v>
      </c>
      <c r="T27" s="9" t="s">
        <v>27</v>
      </c>
      <c r="U27" s="31">
        <f>IF(X28="","",SUM(F27,I27,L27,O27,R27))</f>
        <v>128</v>
      </c>
      <c r="V27" s="6">
        <f>IF(X27="","",RANK(W28,($W$24,$W$26,$W$28,$W$30,$W$32),0))</f>
        <v>2</v>
      </c>
      <c r="X27" s="11" t="s">
        <v>29</v>
      </c>
      <c r="AA27">
        <v>3</v>
      </c>
      <c r="AB27" t="str">
        <f>IF(V27="","",IF($V$23=3,$C$23,IF($V$25=3,$C$25,IF($V$27=3,$C$27,IF($V$29=3,$C$29,IF($V$31=3,$C$31,0))))))</f>
        <v>VSK Osterholz Scharmbeck</v>
      </c>
    </row>
    <row r="28" spans="2:24" ht="10.5" customHeight="1">
      <c r="B28" s="98"/>
      <c r="C28" s="17"/>
      <c r="D28" s="13">
        <f>IF(D27="","",IF(D27&gt;F27,2,IF(D27&lt;F27,0,1)))</f>
        <v>2</v>
      </c>
      <c r="E28" s="7" t="s">
        <v>28</v>
      </c>
      <c r="F28" s="14">
        <f>IF(F27="","",IF(F27&gt;D27,2,IF(F27&lt;D27,0,1)))</f>
        <v>0</v>
      </c>
      <c r="G28" s="13">
        <f>IF(G27="","",IF(G27&gt;I27,2,IF(G27&lt;I27,0,1)))</f>
        <v>2</v>
      </c>
      <c r="H28" s="7" t="s">
        <v>28</v>
      </c>
      <c r="I28" s="14">
        <f>IF(I27="","",IF(I27&gt;G27,2,IF(I27&lt;G27,0,1)))</f>
        <v>0</v>
      </c>
      <c r="J28" s="94"/>
      <c r="K28" s="95"/>
      <c r="L28" s="96"/>
      <c r="M28" s="13">
        <f>IF(M27="","",IF(M27&gt;O27,2,IF(M27&lt;O27,0,1)))</f>
        <v>0</v>
      </c>
      <c r="N28" s="7" t="s">
        <v>28</v>
      </c>
      <c r="O28" s="14">
        <f>IF(O27="","",IF(O27&gt;M27,2,IF(O27&lt;M27,0,1)))</f>
        <v>2</v>
      </c>
      <c r="P28" s="13">
        <f>IF(P27="","",IF(P27&gt;R27,2,IF(P27&lt;R27,0,1)))</f>
        <v>2</v>
      </c>
      <c r="Q28" s="7" t="s">
        <v>28</v>
      </c>
      <c r="R28" s="14">
        <f>IF(R27="","",IF(R27&gt;P27,2,IF(R27&lt;P27,0,1)))</f>
        <v>0</v>
      </c>
      <c r="S28" s="13">
        <f>IF(X28="","",SUM(D28,G28,J28,M28,P28))</f>
        <v>6</v>
      </c>
      <c r="T28" s="7" t="s">
        <v>28</v>
      </c>
      <c r="U28" s="14">
        <f>IF(X28="","",SUM(F28,I28,L28,O28,R28))</f>
        <v>2</v>
      </c>
      <c r="V28" s="15"/>
      <c r="W28" s="16">
        <f>+(S28-U28)+S27/U27+S28</f>
        <v>11.2578125</v>
      </c>
      <c r="X28" s="11" t="s">
        <v>29</v>
      </c>
    </row>
    <row r="29" spans="2:28" ht="15" customHeight="1">
      <c r="B29" s="46" t="str">
        <f>IF(Daten!K8="","",Daten!K8)</f>
        <v>2.S</v>
      </c>
      <c r="C29" s="27" t="str">
        <f>IF(Daten!L8="","",Daten!L8)</f>
        <v>TG Giengen</v>
      </c>
      <c r="D29" s="30">
        <f>IF(O23="","",O23)</f>
        <v>47</v>
      </c>
      <c r="E29" s="9" t="s">
        <v>27</v>
      </c>
      <c r="F29" s="31">
        <f>IF(M23="","",M23)</f>
        <v>32</v>
      </c>
      <c r="G29" s="30">
        <f>IF(O25="","",O25)</f>
        <v>40</v>
      </c>
      <c r="H29" s="9" t="s">
        <v>27</v>
      </c>
      <c r="I29" s="31">
        <f>IF(M25="","",M25)</f>
        <v>31</v>
      </c>
      <c r="J29" s="30">
        <f>IF(O27="","",O27)</f>
        <v>40</v>
      </c>
      <c r="K29" s="9" t="s">
        <v>27</v>
      </c>
      <c r="L29" s="31">
        <f>IF(M27="","",M27)</f>
        <v>35</v>
      </c>
      <c r="M29" s="91"/>
      <c r="N29" s="92"/>
      <c r="O29" s="93"/>
      <c r="P29" s="30">
        <f>IF('Samstag Haupt'!$Q39="","",'Samstag Haupt'!$Q39)</f>
        <v>46</v>
      </c>
      <c r="Q29" s="9" t="s">
        <v>27</v>
      </c>
      <c r="R29" s="31">
        <f>IF('Samstag Haupt'!$S39="","",'Samstag Haupt'!$S39)</f>
        <v>31</v>
      </c>
      <c r="S29" s="30">
        <f>IF(X30="","",SUM(D29,G29,J29,M29,P29))</f>
        <v>173</v>
      </c>
      <c r="T29" s="9" t="s">
        <v>27</v>
      </c>
      <c r="U29" s="31">
        <f>IF(X30="","",SUM(F29,I29,L29,O29,R29))</f>
        <v>129</v>
      </c>
      <c r="V29" s="6">
        <f>IF(X29="","",RANK(W30,($W$24,$W$26,$W$28,$W$30,$W$32),0))</f>
        <v>1</v>
      </c>
      <c r="X29" s="11" t="s">
        <v>29</v>
      </c>
      <c r="AA29">
        <v>4</v>
      </c>
      <c r="AB29" t="str">
        <f>IF(V29="","",IF($V$23=4,$C$23,IF($V$25=4,$C$25,IF($V$27=4,$C$27,IF($V$29=4,$C$29,IF($V$31=4,$C$31,0))))))</f>
        <v>MTV Wohnste</v>
      </c>
    </row>
    <row r="30" spans="2:24" ht="10.5" customHeight="1">
      <c r="B30" s="97"/>
      <c r="C30" s="17"/>
      <c r="D30" s="13">
        <f>IF(D29="","",IF(D29&gt;F29,2,IF(D29&lt;F29,0,1)))</f>
        <v>2</v>
      </c>
      <c r="E30" s="7" t="s">
        <v>28</v>
      </c>
      <c r="F30" s="14">
        <f>IF(F29="","",IF(F29&gt;D29,2,IF(F29&lt;D29,0,1)))</f>
        <v>0</v>
      </c>
      <c r="G30" s="13">
        <f>IF(G29="","",IF(G29&gt;I29,2,IF(G29&lt;I29,0,1)))</f>
        <v>2</v>
      </c>
      <c r="H30" s="7" t="s">
        <v>28</v>
      </c>
      <c r="I30" s="14">
        <f>IF(I29="","",IF(I29&gt;G29,2,IF(I29&lt;G29,0,1)))</f>
        <v>0</v>
      </c>
      <c r="J30" s="13">
        <f>IF(J29="","",IF(J29&gt;L29,2,IF(J29&lt;L29,0,1)))</f>
        <v>2</v>
      </c>
      <c r="K30" s="7" t="s">
        <v>28</v>
      </c>
      <c r="L30" s="14">
        <f>IF(L29="","",IF(L29&gt;J29,2,IF(L29&lt;J29,0,1)))</f>
        <v>0</v>
      </c>
      <c r="M30" s="94"/>
      <c r="N30" s="95"/>
      <c r="O30" s="96"/>
      <c r="P30" s="13">
        <f>IF(P29="","",IF(P29&gt;R29,2,IF(P29&lt;R29,0,1)))</f>
        <v>2</v>
      </c>
      <c r="Q30" s="7" t="s">
        <v>28</v>
      </c>
      <c r="R30" s="14">
        <f>IF(R29="","",IF(R29&gt;P29,2,IF(R29&lt;P29,0,1)))</f>
        <v>0</v>
      </c>
      <c r="S30" s="13">
        <f>IF(X30="","",SUM(D30,G30,J30,M30,P30))</f>
        <v>8</v>
      </c>
      <c r="T30" s="7" t="s">
        <v>28</v>
      </c>
      <c r="U30" s="14">
        <f>IF(X30="","",SUM(F30,I30,L30,O30,R30))</f>
        <v>0</v>
      </c>
      <c r="V30" s="15"/>
      <c r="W30" s="16">
        <f>+(S30-U30)+S29/U29+S30</f>
        <v>17.34108527131783</v>
      </c>
      <c r="X30" s="11" t="s">
        <v>29</v>
      </c>
    </row>
    <row r="31" spans="2:28" ht="15" customHeight="1">
      <c r="B31" s="46" t="str">
        <f>IF(Daten!K9="","",Daten!K9)</f>
        <v>2.W</v>
      </c>
      <c r="C31" s="27" t="str">
        <f>IF(Daten!L9="","",Daten!L9)</f>
        <v>Betzdorfer TV</v>
      </c>
      <c r="D31" s="30">
        <f>IF(R23="","",R23)</f>
        <v>42</v>
      </c>
      <c r="E31" s="9" t="s">
        <v>27</v>
      </c>
      <c r="F31" s="31">
        <f>IF(P23="","",P23)</f>
        <v>46</v>
      </c>
      <c r="G31" s="30">
        <f>IF(R25="","",R25)</f>
        <v>29</v>
      </c>
      <c r="H31" s="9" t="s">
        <v>27</v>
      </c>
      <c r="I31" s="31">
        <f>IF(P25="","",P25)</f>
        <v>48</v>
      </c>
      <c r="J31" s="30">
        <f>IF(R27="","",R27)</f>
        <v>24</v>
      </c>
      <c r="K31" s="9" t="s">
        <v>27</v>
      </c>
      <c r="L31" s="31">
        <f>IF(P27="","",P27)</f>
        <v>46</v>
      </c>
      <c r="M31" s="30">
        <f>IF(R29="","",R29)</f>
        <v>31</v>
      </c>
      <c r="N31" s="9" t="s">
        <v>27</v>
      </c>
      <c r="O31" s="31">
        <f>IF(P29="","",P29)</f>
        <v>46</v>
      </c>
      <c r="P31" s="91"/>
      <c r="Q31" s="92"/>
      <c r="R31" s="93"/>
      <c r="S31" s="30">
        <f>IF(X32="","",SUM(D31,G31,J31,M31,P31))</f>
        <v>126</v>
      </c>
      <c r="T31" s="9" t="s">
        <v>27</v>
      </c>
      <c r="U31" s="31">
        <f>IF(X32="","",SUM(F31,I31,L31,O31,R31))</f>
        <v>186</v>
      </c>
      <c r="V31" s="6">
        <f>IF(X31="","",RANK(W32,($W$24,$W$26,$W$28,$W$30,$W$32),0))</f>
        <v>5</v>
      </c>
      <c r="X31" s="11" t="s">
        <v>29</v>
      </c>
      <c r="AA31">
        <v>5</v>
      </c>
      <c r="AB31" t="str">
        <f>IF(V31="","",IF($V$23=5,$C$23,IF($V$25=5,$C$25,IF($V$27=5,$C$27,IF($V$29=5,$C$29,IF($V$31=5,$C$31,0))))))</f>
        <v>Betzdorfer TV</v>
      </c>
    </row>
    <row r="32" spans="2:24" ht="10.5" customHeight="1">
      <c r="B32" s="98"/>
      <c r="C32" s="17"/>
      <c r="D32" s="13">
        <f>IF(D31="","",IF(D31&gt;F31,2,IF(D31&lt;F31,0,1)))</f>
        <v>0</v>
      </c>
      <c r="E32" s="7" t="s">
        <v>28</v>
      </c>
      <c r="F32" s="14">
        <f>IF(F31="","",IF(F31&gt;D31,2,IF(F31&lt;D31,0,1)))</f>
        <v>2</v>
      </c>
      <c r="G32" s="13">
        <f>IF(G31="","",IF(G31&gt;I31,2,IF(G31&lt;I31,0,1)))</f>
        <v>0</v>
      </c>
      <c r="H32" s="7" t="s">
        <v>28</v>
      </c>
      <c r="I32" s="14">
        <f>IF(I31="","",IF(I31&gt;G31,2,IF(I31&lt;G31,0,1)))</f>
        <v>2</v>
      </c>
      <c r="J32" s="13">
        <f>IF(J31="","",IF(J31&gt;L31,2,IF(J31&lt;L31,0,1)))</f>
        <v>0</v>
      </c>
      <c r="K32" s="7" t="s">
        <v>28</v>
      </c>
      <c r="L32" s="14">
        <f>IF(L31="","",IF(L31&gt;J31,2,IF(L31&lt;J31,0,1)))</f>
        <v>2</v>
      </c>
      <c r="M32" s="13">
        <f>IF(M31="","",IF(M31&gt;O31,2,IF(M31&lt;O31,0,1)))</f>
        <v>0</v>
      </c>
      <c r="N32" s="7" t="s">
        <v>28</v>
      </c>
      <c r="O32" s="14">
        <f>IF(O31="","",IF(O31&gt;M31,2,IF(O31&lt;M31,0,1)))</f>
        <v>2</v>
      </c>
      <c r="P32" s="94"/>
      <c r="Q32" s="95"/>
      <c r="R32" s="96"/>
      <c r="S32" s="13">
        <f>IF(X32="","",SUM(D32,G32,J32,M32,P32))</f>
        <v>0</v>
      </c>
      <c r="T32" s="7" t="s">
        <v>28</v>
      </c>
      <c r="U32" s="14">
        <f>IF(X32="","",SUM(F32,I32,L32,O32,R32))</f>
        <v>8</v>
      </c>
      <c r="V32" s="15"/>
      <c r="W32" s="16">
        <f>+(S32-U32)+S31/U31+S32</f>
        <v>-7.32258064516129</v>
      </c>
      <c r="X32" s="11" t="s">
        <v>29</v>
      </c>
    </row>
    <row r="33" spans="2:24" ht="9.75" customHeight="1">
      <c r="B33" s="41"/>
      <c r="C33" s="41"/>
      <c r="D33" s="42"/>
      <c r="E33" s="9"/>
      <c r="F33" s="43"/>
      <c r="G33" s="42"/>
      <c r="H33" s="9"/>
      <c r="I33" s="43"/>
      <c r="J33" s="42"/>
      <c r="K33" s="9"/>
      <c r="L33" s="43"/>
      <c r="M33" s="42"/>
      <c r="N33" s="9"/>
      <c r="O33" s="43"/>
      <c r="P33" s="18"/>
      <c r="Q33" s="18"/>
      <c r="R33" s="18"/>
      <c r="S33" s="42"/>
      <c r="T33" s="9"/>
      <c r="U33" s="43"/>
      <c r="V33" s="5"/>
      <c r="W33" s="16"/>
      <c r="X33" s="11"/>
    </row>
    <row r="34" spans="2:24" ht="9.75" customHeight="1" outlineLevel="1">
      <c r="B34" s="103" t="s">
        <v>30</v>
      </c>
      <c r="C34" s="32" t="str">
        <f>+C23</f>
        <v>VSK Osterholz Scharmbeck</v>
      </c>
      <c r="D34" s="33"/>
      <c r="E34" s="142"/>
      <c r="F34" s="34"/>
      <c r="G34" s="35"/>
      <c r="H34" s="36" t="s">
        <v>27</v>
      </c>
      <c r="I34" s="37"/>
      <c r="J34" s="35"/>
      <c r="K34" s="36" t="s">
        <v>27</v>
      </c>
      <c r="L34" s="37"/>
      <c r="M34" s="35"/>
      <c r="N34" s="36" t="s">
        <v>27</v>
      </c>
      <c r="O34" s="37"/>
      <c r="P34" s="38"/>
      <c r="Q34" s="36" t="s">
        <v>27</v>
      </c>
      <c r="R34" s="110"/>
      <c r="S34" s="22"/>
      <c r="T34" s="23"/>
      <c r="U34" s="24"/>
      <c r="V34" s="25"/>
      <c r="W34" s="16"/>
      <c r="X34" s="11"/>
    </row>
    <row r="35" spans="2:24" ht="9.75" customHeight="1" outlineLevel="1">
      <c r="B35" s="21"/>
      <c r="C35" s="32" t="str">
        <f>+C25</f>
        <v>MTV Wohnste</v>
      </c>
      <c r="D35" s="35">
        <f>IF(I34="","",I34)</f>
      </c>
      <c r="E35" s="36" t="s">
        <v>27</v>
      </c>
      <c r="F35" s="37">
        <f>IF(G34="","",G34)</f>
      </c>
      <c r="G35" s="33"/>
      <c r="H35" s="142"/>
      <c r="I35" s="34"/>
      <c r="J35" s="35"/>
      <c r="K35" s="36" t="s">
        <v>27</v>
      </c>
      <c r="L35" s="37"/>
      <c r="M35" s="35"/>
      <c r="N35" s="36" t="s">
        <v>27</v>
      </c>
      <c r="O35" s="37"/>
      <c r="P35" s="38"/>
      <c r="Q35" s="36" t="s">
        <v>27</v>
      </c>
      <c r="R35" s="110"/>
      <c r="S35" s="22"/>
      <c r="T35" s="23"/>
      <c r="U35" s="24"/>
      <c r="V35" s="25"/>
      <c r="W35" s="16"/>
      <c r="X35" s="11"/>
    </row>
    <row r="36" spans="2:24" ht="9.75" customHeight="1" outlineLevel="1">
      <c r="B36" s="21"/>
      <c r="C36" s="32" t="str">
        <f>+C27</f>
        <v>TV Wertheim</v>
      </c>
      <c r="D36" s="35">
        <f>IF(L34="","",L34)</f>
      </c>
      <c r="E36" s="36" t="s">
        <v>27</v>
      </c>
      <c r="F36" s="37">
        <f>IF(J34="","",J34)</f>
      </c>
      <c r="G36" s="35">
        <f>IF(L35="","",L35)</f>
      </c>
      <c r="H36" s="36" t="s">
        <v>27</v>
      </c>
      <c r="I36" s="37">
        <f>IF(J35="","",J35)</f>
      </c>
      <c r="J36" s="33"/>
      <c r="K36" s="142"/>
      <c r="L36" s="34"/>
      <c r="M36" s="35"/>
      <c r="N36" s="36" t="s">
        <v>27</v>
      </c>
      <c r="O36" s="37"/>
      <c r="P36" s="38"/>
      <c r="Q36" s="36" t="s">
        <v>27</v>
      </c>
      <c r="R36" s="110"/>
      <c r="S36" s="22"/>
      <c r="T36" s="23"/>
      <c r="U36" s="24"/>
      <c r="V36" s="25"/>
      <c r="W36" s="16"/>
      <c r="X36" s="11"/>
    </row>
    <row r="37" spans="2:24" ht="9.75" customHeight="1" outlineLevel="1">
      <c r="B37" s="21"/>
      <c r="C37" s="32" t="str">
        <f>+C29</f>
        <v>TG Giengen</v>
      </c>
      <c r="D37" s="35">
        <f>IF(O34="","",O34)</f>
      </c>
      <c r="E37" s="36" t="s">
        <v>27</v>
      </c>
      <c r="F37" s="37">
        <f>IF(M34="","",M34)</f>
      </c>
      <c r="G37" s="35">
        <f>IF(O35="","",O35)</f>
      </c>
      <c r="H37" s="36" t="s">
        <v>27</v>
      </c>
      <c r="I37" s="37">
        <f>IF(M35="","",M35)</f>
      </c>
      <c r="J37" s="35">
        <f>IF(O36="","",O36)</f>
      </c>
      <c r="K37" s="36" t="s">
        <v>27</v>
      </c>
      <c r="L37" s="37">
        <f>IF(M36="","",M36)</f>
      </c>
      <c r="M37" s="33"/>
      <c r="N37" s="142"/>
      <c r="O37" s="34"/>
      <c r="P37" s="38"/>
      <c r="Q37" s="36" t="s">
        <v>27</v>
      </c>
      <c r="R37" s="110"/>
      <c r="S37" s="22"/>
      <c r="T37" s="23"/>
      <c r="U37" s="24"/>
      <c r="V37" s="25"/>
      <c r="W37" s="16"/>
      <c r="X37" s="11"/>
    </row>
    <row r="38" spans="3:18" ht="9.75" customHeight="1" outlineLevel="1">
      <c r="C38" s="32" t="str">
        <f>+C31</f>
        <v>Betzdorfer TV</v>
      </c>
      <c r="D38" s="35">
        <f>IF(R34="","",R34)</f>
      </c>
      <c r="E38" s="36" t="s">
        <v>27</v>
      </c>
      <c r="F38" s="37">
        <f>IF(P34="","",P34)</f>
      </c>
      <c r="G38" s="35">
        <f>IF(R35="","",R35)</f>
      </c>
      <c r="H38" s="36" t="s">
        <v>27</v>
      </c>
      <c r="I38" s="37">
        <f>IF(P35="","",P35)</f>
      </c>
      <c r="J38" s="35">
        <f>IF(R36="","",R36)</f>
      </c>
      <c r="K38" s="36" t="s">
        <v>27</v>
      </c>
      <c r="L38" s="37">
        <f>IF(P36="","",P36)</f>
      </c>
      <c r="M38" s="35">
        <f>IF(R37="","",R37)</f>
      </c>
      <c r="N38" s="36" t="s">
        <v>27</v>
      </c>
      <c r="O38" s="37">
        <f>IF(P37="","",P37)</f>
      </c>
      <c r="P38" s="33"/>
      <c r="Q38" s="194"/>
      <c r="R38" s="34"/>
    </row>
    <row r="39" ht="18" customHeight="1">
      <c r="B39" s="58" t="s">
        <v>57</v>
      </c>
    </row>
    <row r="40" spans="1:15" ht="17.25" customHeight="1">
      <c r="A40" t="s">
        <v>42</v>
      </c>
      <c r="B40" s="66" t="str">
        <f>"4."&amp;+$C$4&amp;"  5."&amp;+$C$22</f>
        <v>4.Gruppe J  5.Gruppe K</v>
      </c>
      <c r="C40" s="104" t="str">
        <f>IF(M40="","",$AB$11&amp;" : "&amp;$AB$31)</f>
        <v>TV Berkenbaum : Betzdorfer TV</v>
      </c>
      <c r="D40" s="64"/>
      <c r="E40" s="64"/>
      <c r="F40" s="64"/>
      <c r="G40" s="64"/>
      <c r="H40" s="65"/>
      <c r="I40" s="69"/>
      <c r="J40" s="80">
        <f>IF('Samstag Haupt'!Q62="","",'Samstag Haupt'!Q62)</f>
        <v>42</v>
      </c>
      <c r="K40" s="67" t="s">
        <v>27</v>
      </c>
      <c r="L40" s="78">
        <f>IF('Samstag Haupt'!S62="","",'Samstag Haupt'!S62)</f>
        <v>41</v>
      </c>
      <c r="M40" s="82" t="s">
        <v>29</v>
      </c>
      <c r="N40" s="68"/>
      <c r="O40" s="56"/>
    </row>
    <row r="41" spans="1:13" ht="4.5" customHeight="1">
      <c r="A41" s="25"/>
      <c r="B41" s="62"/>
      <c r="C41" s="105"/>
      <c r="D41" s="44"/>
      <c r="E41" s="45"/>
      <c r="F41" s="44"/>
      <c r="G41" s="44"/>
      <c r="H41" s="44"/>
      <c r="I41" s="44"/>
      <c r="J41" s="81"/>
      <c r="L41" s="79"/>
      <c r="M41" s="83"/>
    </row>
    <row r="42" spans="1:14" ht="17.25" customHeight="1">
      <c r="A42" t="s">
        <v>43</v>
      </c>
      <c r="B42" s="66" t="str">
        <f>"4."&amp;+$C$22&amp;"  5."&amp;+$C$4</f>
        <v>4.Gruppe K  5.Gruppe J</v>
      </c>
      <c r="C42" s="104" t="str">
        <f>IF(M42="","",$AB$29&amp;" : "&amp;$AB$13)</f>
        <v>MTV Wohnste : VfL Oldenburg</v>
      </c>
      <c r="D42" s="63"/>
      <c r="E42" s="63"/>
      <c r="F42" s="63"/>
      <c r="G42" s="63"/>
      <c r="H42" s="63"/>
      <c r="I42" s="20"/>
      <c r="J42" s="80">
        <f>IF('Samstag Haupt'!Q63="","",'Samstag Haupt'!Q63)</f>
        <v>49</v>
      </c>
      <c r="K42" s="67" t="s">
        <v>27</v>
      </c>
      <c r="L42" s="78">
        <f>IF('Samstag Haupt'!S63="","",'Samstag Haupt'!S63)</f>
        <v>24</v>
      </c>
      <c r="M42" s="82" t="s">
        <v>29</v>
      </c>
      <c r="N42" s="68"/>
    </row>
    <row r="43" spans="2:22" ht="18" customHeight="1">
      <c r="B43" s="59" t="s">
        <v>58</v>
      </c>
      <c r="C43" s="106"/>
      <c r="D43" s="44"/>
      <c r="E43" s="45"/>
      <c r="F43" s="44"/>
      <c r="G43" s="44"/>
      <c r="H43" s="44"/>
      <c r="I43" s="44"/>
      <c r="J43" s="81"/>
      <c r="L43" s="79"/>
      <c r="M43" s="83"/>
      <c r="P43" s="25"/>
      <c r="Q43" s="25"/>
      <c r="R43" s="25"/>
      <c r="S43" s="25"/>
      <c r="T43" s="25"/>
      <c r="U43" s="25"/>
      <c r="V43" s="25"/>
    </row>
    <row r="44" spans="2:22" ht="17.25" customHeight="1">
      <c r="B44" s="66" t="str">
        <f>"V."&amp;A40&amp;"/"&amp;A42&amp;"      9./10. Pl."</f>
        <v>V.a/b      9./10. Pl.</v>
      </c>
      <c r="C44" s="137" t="str">
        <f>IF(M44="","",'Samstag Haupt'!H66&amp;" : "&amp;'Samstag Haupt'!L66)</f>
        <v>Betzdorfer TV : VfL Oldenburg</v>
      </c>
      <c r="D44" s="63"/>
      <c r="E44" s="63"/>
      <c r="F44" s="63"/>
      <c r="G44" s="63"/>
      <c r="H44" s="63"/>
      <c r="I44" s="20"/>
      <c r="J44" s="80">
        <f>IF('Samstag Haupt'!Q66="","",'Samstag Haupt'!Q66)</f>
        <v>51</v>
      </c>
      <c r="K44" s="67" t="s">
        <v>27</v>
      </c>
      <c r="L44" s="78">
        <f>IF('Samstag Haupt'!S66="","",'Samstag Haupt'!S66)</f>
        <v>39</v>
      </c>
      <c r="M44" s="83" t="s">
        <v>29</v>
      </c>
      <c r="O44" s="40" t="s">
        <v>31</v>
      </c>
      <c r="P44" s="72"/>
      <c r="Q44" s="72"/>
      <c r="R44" s="72"/>
      <c r="S44" s="72"/>
      <c r="T44" s="72"/>
      <c r="U44" s="72"/>
      <c r="V44" s="72"/>
    </row>
    <row r="45" spans="2:22" ht="4.5" customHeight="1">
      <c r="B45" s="53"/>
      <c r="C45" s="106"/>
      <c r="D45" s="44"/>
      <c r="E45" s="44"/>
      <c r="F45" s="44"/>
      <c r="G45" s="44"/>
      <c r="H45" s="45"/>
      <c r="I45" s="44"/>
      <c r="J45" s="81"/>
      <c r="L45" s="79"/>
      <c r="M45" s="83"/>
      <c r="P45" s="25"/>
      <c r="Q45" s="25"/>
      <c r="R45" s="25"/>
      <c r="S45" s="25"/>
      <c r="T45" s="25"/>
      <c r="U45" s="25"/>
      <c r="V45" s="25"/>
    </row>
    <row r="46" spans="2:22" ht="17.25" customHeight="1">
      <c r="B46" s="66" t="str">
        <f>"S."&amp;A40&amp;"/"&amp;A42&amp;"        7./8. Pl."</f>
        <v>S.a/b        7./8. Pl.</v>
      </c>
      <c r="C46" s="137" t="str">
        <f>IF(M46="","",'Samstag Haupt'!H67&amp;" : "&amp;'Samstag Haupt'!L67)</f>
        <v>TV Berkenbaum : MTV Wohnste</v>
      </c>
      <c r="D46" s="64"/>
      <c r="E46" s="65"/>
      <c r="F46" s="64"/>
      <c r="G46" s="64"/>
      <c r="H46" s="64"/>
      <c r="I46" s="69"/>
      <c r="J46" s="80">
        <f>IF('Samstag Haupt'!Q67="","",'Samstag Haupt'!Q67)</f>
        <v>28</v>
      </c>
      <c r="K46" s="67" t="s">
        <v>27</v>
      </c>
      <c r="L46" s="78">
        <f>IF('Samstag Haupt'!S67="","",'Samstag Haupt'!S67)</f>
        <v>41</v>
      </c>
      <c r="M46" s="83" t="s">
        <v>29</v>
      </c>
      <c r="O46" s="131">
        <v>1</v>
      </c>
      <c r="P46" s="132" t="str">
        <f>" "&amp;IF(J60="","",IF(Sonntag!Q63&gt;Sonntag!S63,Sonntag!H63,Sonntag!L63))</f>
        <v> Barmer TG</v>
      </c>
      <c r="Q46" s="132"/>
      <c r="R46" s="132"/>
      <c r="S46" s="132"/>
      <c r="T46" s="132"/>
      <c r="U46" s="132"/>
      <c r="V46" s="133"/>
    </row>
    <row r="47" spans="2:22" ht="18" customHeight="1">
      <c r="B47" s="59" t="s">
        <v>32</v>
      </c>
      <c r="C47" s="106"/>
      <c r="D47" s="44"/>
      <c r="E47" s="44"/>
      <c r="F47" s="44"/>
      <c r="G47" s="44"/>
      <c r="H47" s="45"/>
      <c r="I47" s="44"/>
      <c r="J47" s="81"/>
      <c r="L47" s="79"/>
      <c r="M47" s="83"/>
      <c r="O47" s="84">
        <v>2</v>
      </c>
      <c r="P47" s="102" t="str">
        <f>" "&amp;IF(J60="","",IF(Sonntag!Q63&lt;Sonntag!S63,Sonntag!H63,Sonntag!L63))</f>
        <v> TG Giengen</v>
      </c>
      <c r="Q47" s="56"/>
      <c r="R47" s="56"/>
      <c r="S47" s="56"/>
      <c r="T47" s="56"/>
      <c r="U47" s="56"/>
      <c r="V47" s="74"/>
    </row>
    <row r="48" spans="1:22" ht="17.25" customHeight="1">
      <c r="A48" t="s">
        <v>33</v>
      </c>
      <c r="B48" s="66" t="str">
        <f>"2."&amp;+$C$4&amp;"  3."&amp;+$C$22</f>
        <v>2.Gruppe J  3.Gruppe K</v>
      </c>
      <c r="C48" s="104" t="str">
        <f>IF(M48="","",$AB$7&amp;" : "&amp;$AB$27)</f>
        <v>TSV Ludwigshafen : VSK Osterholz Scharmbeck</v>
      </c>
      <c r="D48" s="64"/>
      <c r="E48" s="65"/>
      <c r="F48" s="64"/>
      <c r="G48" s="64"/>
      <c r="H48" s="64"/>
      <c r="I48" s="69"/>
      <c r="J48" s="80">
        <f>IF(Sonntag!Q26="","",Sonntag!Q26)</f>
        <v>45</v>
      </c>
      <c r="K48" s="67" t="s">
        <v>27</v>
      </c>
      <c r="L48" s="78">
        <f>IF(Sonntag!S26="","",Sonntag!S26)</f>
        <v>31</v>
      </c>
      <c r="M48" s="83" t="s">
        <v>29</v>
      </c>
      <c r="O48" s="84">
        <v>3</v>
      </c>
      <c r="P48" s="86" t="str">
        <f>" "&amp;IF(J58="","",IF(Sonntag!Q54&gt;Sonntag!S54,Sonntag!H54,Sonntag!L54))</f>
        <v> TV Wertheim</v>
      </c>
      <c r="Q48" s="56"/>
      <c r="R48" s="56"/>
      <c r="S48" s="56"/>
      <c r="T48" s="56"/>
      <c r="U48" s="56"/>
      <c r="V48" s="74"/>
    </row>
    <row r="49" spans="2:22" ht="4.5" customHeight="1">
      <c r="B49" s="44"/>
      <c r="C49" s="106"/>
      <c r="D49" s="44"/>
      <c r="E49" s="44"/>
      <c r="F49" s="44"/>
      <c r="G49" s="44"/>
      <c r="H49" s="44"/>
      <c r="I49" s="44"/>
      <c r="J49" s="81"/>
      <c r="L49" s="79"/>
      <c r="M49" s="83"/>
      <c r="O49" s="84"/>
      <c r="P49" s="56"/>
      <c r="Q49" s="56"/>
      <c r="R49" s="56"/>
      <c r="S49" s="56"/>
      <c r="T49" s="56"/>
      <c r="U49" s="56"/>
      <c r="V49" s="74"/>
    </row>
    <row r="50" spans="1:22" ht="17.25" customHeight="1">
      <c r="A50" t="s">
        <v>34</v>
      </c>
      <c r="B50" s="66" t="str">
        <f>"2."&amp;+$C$22&amp;"  3."&amp;+$C$4</f>
        <v>2.Gruppe K  3.Gruppe J</v>
      </c>
      <c r="C50" s="104" t="str">
        <f>IF(M50="","",$AB$25&amp;" : "&amp;$AB$9)</f>
        <v>TV Wertheim : MTV Itzehoe</v>
      </c>
      <c r="D50" s="64"/>
      <c r="E50" s="64"/>
      <c r="F50" s="64"/>
      <c r="G50" s="64"/>
      <c r="H50" s="65"/>
      <c r="I50" s="69"/>
      <c r="J50" s="80">
        <f>IF(Sonntag!Q27="","",Sonntag!Q27)</f>
        <v>33</v>
      </c>
      <c r="K50" s="67" t="s">
        <v>27</v>
      </c>
      <c r="L50" s="78">
        <f>IF(Sonntag!S27="","",Sonntag!S27)</f>
        <v>32</v>
      </c>
      <c r="M50" s="83" t="s">
        <v>29</v>
      </c>
      <c r="O50" s="84">
        <v>4</v>
      </c>
      <c r="P50" s="86" t="str">
        <f>" "&amp;IF(J58="","",IF(Sonntag!Q54&lt;Sonntag!S54,Sonntag!H54,Sonntag!L54))</f>
        <v> TSV Ludwigshafen</v>
      </c>
      <c r="Q50" s="56"/>
      <c r="R50" s="56"/>
      <c r="S50" s="56"/>
      <c r="T50" s="56"/>
      <c r="U50" s="56"/>
      <c r="V50" s="74"/>
    </row>
    <row r="51" spans="2:22" ht="18" customHeight="1">
      <c r="B51" s="59" t="s">
        <v>35</v>
      </c>
      <c r="C51" s="106"/>
      <c r="D51" s="44"/>
      <c r="E51" s="44"/>
      <c r="F51" s="44"/>
      <c r="G51" s="44"/>
      <c r="H51" s="44"/>
      <c r="I51" s="44"/>
      <c r="J51" s="81"/>
      <c r="L51" s="79"/>
      <c r="M51" s="83"/>
      <c r="O51" s="84">
        <v>5</v>
      </c>
      <c r="P51" s="86" t="str">
        <f>" "&amp;IF(J56="","",IF(Sonntag!Q48&gt;Sonntag!S48,Sonntag!H48,Sonntag!L48))</f>
        <v> MTV Itzehoe</v>
      </c>
      <c r="Q51" s="56"/>
      <c r="R51" s="56"/>
      <c r="S51" s="56"/>
      <c r="T51" s="56"/>
      <c r="U51" s="56"/>
      <c r="V51" s="74"/>
    </row>
    <row r="52" spans="1:22" ht="17.25" customHeight="1">
      <c r="A52" t="s">
        <v>36</v>
      </c>
      <c r="B52" s="66" t="str">
        <f>"1."&amp;+$C$4&amp;"  Sieger "&amp;+$A$50</f>
        <v>1.Gruppe J  Sieger d</v>
      </c>
      <c r="C52" s="107" t="str">
        <f>IF(M52="","",$AB$5&amp;" : "&amp;Sonntag!L38)</f>
        <v>Barmer TG : TV Wertheim</v>
      </c>
      <c r="D52" s="64"/>
      <c r="E52" s="64"/>
      <c r="F52" s="64"/>
      <c r="G52" s="64"/>
      <c r="H52" s="65"/>
      <c r="I52" s="69"/>
      <c r="J52" s="80">
        <f>IF(Sonntag!Q38="","",Sonntag!Q38)</f>
        <v>40</v>
      </c>
      <c r="K52" s="67" t="s">
        <v>27</v>
      </c>
      <c r="L52" s="78">
        <f>IF(Sonntag!S38="","",Sonntag!S38)</f>
        <v>31</v>
      </c>
      <c r="M52" s="83" t="s">
        <v>29</v>
      </c>
      <c r="O52" s="84">
        <v>6</v>
      </c>
      <c r="P52" s="86" t="str">
        <f>" "&amp;IF(J56="","",IF(Sonntag!Q48&lt;Sonntag!S48,Sonntag!H48,Sonntag!L48))</f>
        <v> VSK Osterholz Scharmbeck</v>
      </c>
      <c r="Q52" s="56"/>
      <c r="R52" s="56"/>
      <c r="S52" s="56"/>
      <c r="T52" s="56"/>
      <c r="U52" s="56"/>
      <c r="V52" s="74"/>
    </row>
    <row r="53" spans="2:22" ht="4.5" customHeight="1">
      <c r="B53" s="45"/>
      <c r="C53" s="106"/>
      <c r="D53" s="44"/>
      <c r="E53" s="45"/>
      <c r="F53" s="44"/>
      <c r="G53" s="44"/>
      <c r="H53" s="44"/>
      <c r="I53" s="44"/>
      <c r="J53" s="81"/>
      <c r="L53" s="79"/>
      <c r="M53" s="83"/>
      <c r="O53" s="84"/>
      <c r="P53" s="56"/>
      <c r="Q53" s="56"/>
      <c r="R53" s="56"/>
      <c r="S53" s="56"/>
      <c r="T53" s="56"/>
      <c r="U53" s="56"/>
      <c r="V53" s="74"/>
    </row>
    <row r="54" spans="1:22" ht="17.25" customHeight="1">
      <c r="A54" t="s">
        <v>37</v>
      </c>
      <c r="B54" s="66" t="str">
        <f>"1."&amp;+$C$22&amp;"  Sieger "&amp;+$A$48</f>
        <v>1.Gruppe K  Sieger c</v>
      </c>
      <c r="C54" s="107" t="str">
        <f>IF(M54="","",$AB$23&amp;" : "&amp;Sonntag!L39)</f>
        <v>TG Giengen : TSV Ludwigshafen</v>
      </c>
      <c r="D54" s="64"/>
      <c r="E54" s="64"/>
      <c r="F54" s="64"/>
      <c r="G54" s="64"/>
      <c r="H54" s="64"/>
      <c r="I54" s="69"/>
      <c r="J54" s="80">
        <f>IF(Sonntag!Q39="","",Sonntag!Q39)</f>
        <v>40</v>
      </c>
      <c r="K54" s="67" t="s">
        <v>27</v>
      </c>
      <c r="L54" s="78">
        <f>IF(Sonntag!S39="","",Sonntag!S39)</f>
        <v>39</v>
      </c>
      <c r="M54" s="83" t="s">
        <v>29</v>
      </c>
      <c r="O54" s="84">
        <v>7</v>
      </c>
      <c r="P54" s="86" t="str">
        <f>" "&amp;IF(J46="","",IF('Samstag Haupt'!Q67&gt;'Samstag Haupt'!S67,'Samstag Haupt'!H67,'Samstag Haupt'!L67))</f>
        <v> MTV Wohnste</v>
      </c>
      <c r="Q54" s="56"/>
      <c r="R54" s="56"/>
      <c r="S54" s="56"/>
      <c r="T54" s="56"/>
      <c r="U54" s="56"/>
      <c r="V54" s="74"/>
    </row>
    <row r="55" spans="2:22" ht="18" customHeight="1">
      <c r="B55" s="60" t="s">
        <v>38</v>
      </c>
      <c r="C55" s="106"/>
      <c r="D55" s="44"/>
      <c r="E55" s="45"/>
      <c r="F55" s="44"/>
      <c r="G55" s="44"/>
      <c r="H55" s="44"/>
      <c r="I55" s="44"/>
      <c r="J55" s="81"/>
      <c r="L55" s="79"/>
      <c r="M55" s="83"/>
      <c r="O55" s="84">
        <v>8</v>
      </c>
      <c r="P55" s="86" t="str">
        <f>" "&amp;IF(J46="","",IF('Samstag Haupt'!Q67&lt;'Samstag Haupt'!S67,'Samstag Haupt'!H67,'Samstag Haupt'!L67))</f>
        <v> TV Berkenbaum</v>
      </c>
      <c r="Q55" s="56"/>
      <c r="R55" s="56"/>
      <c r="S55" s="56"/>
      <c r="T55" s="56"/>
      <c r="U55" s="56"/>
      <c r="V55" s="74"/>
    </row>
    <row r="56" spans="2:22" ht="17.25" customHeight="1">
      <c r="B56" s="66" t="str">
        <f>"V."&amp;A48&amp;"/"&amp;A50&amp;"         5./6. Pl."</f>
        <v>V.c/d         5./6. Pl.</v>
      </c>
      <c r="C56" s="107" t="str">
        <f>IF(M56="","",IF(J48="","",Sonntag!H48)&amp;" : "&amp;IF(J50="","",Sonntag!L48))</f>
        <v>VSK Osterholz Scharmbeck : MTV Itzehoe</v>
      </c>
      <c r="D56" s="64"/>
      <c r="E56" s="64"/>
      <c r="F56" s="64"/>
      <c r="G56" s="64"/>
      <c r="H56" s="64"/>
      <c r="I56" s="69"/>
      <c r="J56" s="80">
        <f>IF(Sonntag!Q48="","",Sonntag!Q48)</f>
        <v>35</v>
      </c>
      <c r="K56" s="67" t="s">
        <v>27</v>
      </c>
      <c r="L56" s="78">
        <f>IF(Sonntag!S48="","",Sonntag!S48)</f>
        <v>46</v>
      </c>
      <c r="M56" s="83" t="s">
        <v>29</v>
      </c>
      <c r="O56" s="84">
        <v>9</v>
      </c>
      <c r="P56" s="86" t="str">
        <f>" "&amp;IF(J44="","",IF('Samstag Haupt'!Q66&gt;'Samstag Haupt'!S66,'Samstag Haupt'!H66,'Samstag Haupt'!L66))</f>
        <v> Betzdorfer TV</v>
      </c>
      <c r="Q56" s="56"/>
      <c r="R56" s="56"/>
      <c r="S56" s="56"/>
      <c r="T56" s="56"/>
      <c r="U56" s="56"/>
      <c r="V56" s="74"/>
    </row>
    <row r="57" spans="2:22" ht="4.5" customHeight="1">
      <c r="B57" s="44"/>
      <c r="C57" s="106"/>
      <c r="D57" s="44"/>
      <c r="E57" s="44"/>
      <c r="F57" s="44"/>
      <c r="G57" s="44"/>
      <c r="H57" s="45"/>
      <c r="I57" s="44"/>
      <c r="J57" s="81"/>
      <c r="L57" s="79"/>
      <c r="M57" s="83"/>
      <c r="O57" s="84"/>
      <c r="P57" s="56"/>
      <c r="Q57" s="56"/>
      <c r="R57" s="56"/>
      <c r="S57" s="56"/>
      <c r="T57" s="56"/>
      <c r="U57" s="56"/>
      <c r="V57" s="74"/>
    </row>
    <row r="58" spans="2:22" ht="17.25" customHeight="1">
      <c r="B58" s="66" t="str">
        <f>"V."&amp;A52&amp;"/"&amp;A54&amp;"         3./4. Pl."</f>
        <v>V.e/f         3./4. Pl.</v>
      </c>
      <c r="C58" s="107" t="str">
        <f>IF(M58="","",IF(J52="","",Sonntag!H54)&amp;" : "&amp;IF(J54="","",Sonntag!L54))</f>
        <v>TV Wertheim : TSV Ludwigshafen</v>
      </c>
      <c r="D58" s="64"/>
      <c r="E58" s="65"/>
      <c r="F58" s="64"/>
      <c r="G58" s="64"/>
      <c r="H58" s="64"/>
      <c r="I58" s="69"/>
      <c r="J58" s="80">
        <f>IF(Sonntag!Q54="","",Sonntag!Q54)</f>
        <v>39</v>
      </c>
      <c r="K58" s="67" t="s">
        <v>27</v>
      </c>
      <c r="L58" s="78">
        <f>IF(Sonntag!S54="","",Sonntag!S54)</f>
        <v>29</v>
      </c>
      <c r="M58" s="83" t="s">
        <v>29</v>
      </c>
      <c r="O58" s="85">
        <v>10</v>
      </c>
      <c r="P58" s="205" t="str">
        <f>" "&amp;IF(J44="","",IF('Samstag Haupt'!Q66&lt;'Samstag Haupt'!S66,'Samstag Haupt'!H66,'Samstag Haupt'!L66))</f>
        <v> VfL Oldenburg</v>
      </c>
      <c r="Q58" s="75"/>
      <c r="R58" s="75"/>
      <c r="S58" s="75"/>
      <c r="T58" s="75"/>
      <c r="U58" s="75"/>
      <c r="V58" s="76"/>
    </row>
    <row r="59" spans="2:13" ht="18" customHeight="1">
      <c r="B59" s="70" t="s">
        <v>39</v>
      </c>
      <c r="C59" s="105"/>
      <c r="D59" s="44"/>
      <c r="E59" s="44"/>
      <c r="F59" s="44"/>
      <c r="G59" s="25"/>
      <c r="H59" s="71"/>
      <c r="I59" s="25"/>
      <c r="J59" s="81"/>
      <c r="L59" s="79"/>
      <c r="M59" s="83"/>
    </row>
    <row r="60" spans="2:13" ht="17.25" customHeight="1">
      <c r="B60" s="66" t="str">
        <f>"S."&amp;A52&amp;"/"&amp;A54&amp;"         1./2. Pl."</f>
        <v>S.e/f         1./2. Pl.</v>
      </c>
      <c r="C60" s="107" t="str">
        <f>IF(M60="","",Sonntag!H63&amp;" : "&amp;Sonntag!L63)</f>
        <v>Barmer TG : TG Giengen</v>
      </c>
      <c r="D60" s="63"/>
      <c r="E60" s="77"/>
      <c r="F60" s="63"/>
      <c r="G60" s="64"/>
      <c r="H60" s="64"/>
      <c r="I60" s="69"/>
      <c r="J60" s="80">
        <f>IF(Sonntag!Q63="","",Sonntag!Q63)</f>
        <v>58</v>
      </c>
      <c r="K60" s="67" t="s">
        <v>27</v>
      </c>
      <c r="L60" s="78">
        <f>IF(Sonntag!S63="","",Sonntag!S63)</f>
        <v>56</v>
      </c>
      <c r="M60" s="83" t="s">
        <v>29</v>
      </c>
    </row>
  </sheetData>
  <printOptions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&amp;R&amp;6&amp;F;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0"/>
  <sheetViews>
    <sheetView showGridLines="0" workbookViewId="0" topLeftCell="A4">
      <selection activeCell="I34" sqref="I34"/>
    </sheetView>
  </sheetViews>
  <sheetFormatPr defaultColWidth="11.421875" defaultRowHeight="12.75" outlineLevelRow="1" outlineLevelCol="1"/>
  <cols>
    <col min="1" max="1" width="2.00390625" style="0" customWidth="1"/>
    <col min="2" max="2" width="6.8515625" style="0" customWidth="1"/>
    <col min="3" max="3" width="24.7109375" style="0" customWidth="1"/>
    <col min="4" max="4" width="4.00390625" style="0" customWidth="1"/>
    <col min="5" max="5" width="1.7109375" style="0" customWidth="1"/>
    <col min="6" max="7" width="4.00390625" style="0" customWidth="1"/>
    <col min="8" max="8" width="1.7109375" style="0" customWidth="1"/>
    <col min="9" max="10" width="4.00390625" style="0" customWidth="1"/>
    <col min="11" max="11" width="1.7109375" style="0" customWidth="1"/>
    <col min="12" max="13" width="4.00390625" style="0" customWidth="1"/>
    <col min="14" max="14" width="1.7109375" style="0" customWidth="1"/>
    <col min="15" max="16" width="4.00390625" style="0" customWidth="1"/>
    <col min="17" max="17" width="1.7109375" style="0" customWidth="1"/>
    <col min="18" max="19" width="4.00390625" style="0" customWidth="1"/>
    <col min="20" max="20" width="1.7109375" style="0" customWidth="1"/>
    <col min="21" max="21" width="4.00390625" style="0" customWidth="1"/>
    <col min="22" max="22" width="4.7109375" style="0" customWidth="1"/>
    <col min="23" max="23" width="6.57421875" style="0" hidden="1" customWidth="1" outlineLevel="1"/>
    <col min="24" max="24" width="4.00390625" style="0" customWidth="1" collapsed="1"/>
    <col min="25" max="25" width="4.8515625" style="0" customWidth="1"/>
    <col min="26" max="26" width="1.7109375" style="0" customWidth="1"/>
    <col min="27" max="28" width="4.00390625" style="0" customWidth="1"/>
    <col min="29" max="29" width="1.7109375" style="0" customWidth="1"/>
    <col min="30" max="30" width="4.00390625" style="0" customWidth="1"/>
  </cols>
  <sheetData>
    <row r="1" spans="1:22" ht="24.75" customHeight="1">
      <c r="A1" s="88"/>
      <c r="B1" s="89" t="str">
        <f>Daten!A1&amp;" "&amp;Daten!B1&amp;" "&amp;Daten!L1</f>
        <v>43. Deutsche Prellball Meisterschaften der Seniorinnen und Senioren 2006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21.75" customHeight="1">
      <c r="B2" s="125" t="s">
        <v>40</v>
      </c>
      <c r="C2" s="126"/>
      <c r="D2" s="57"/>
      <c r="E2" s="54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25" t="str">
        <f>+Daten!C3</f>
        <v>Männer 30</v>
      </c>
      <c r="S2" s="127"/>
      <c r="T2" s="127"/>
      <c r="U2" s="127"/>
      <c r="V2" s="126"/>
    </row>
    <row r="3" spans="2:22" ht="6.75" customHeight="1">
      <c r="B3" s="55"/>
      <c r="C3" s="56"/>
      <c r="D3" s="57"/>
      <c r="E3" s="54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6"/>
      <c r="V3" s="56"/>
    </row>
    <row r="4" spans="2:29" ht="12.75" customHeight="1">
      <c r="B4" s="128"/>
      <c r="C4" s="129" t="str">
        <f>+Daten!C4</f>
        <v>Gruppe C</v>
      </c>
      <c r="D4" s="47"/>
      <c r="E4" s="48" t="str">
        <f>+C5</f>
        <v>TV Kleefeld</v>
      </c>
      <c r="F4" s="49"/>
      <c r="G4" s="19"/>
      <c r="H4" s="48" t="str">
        <f>+C7</f>
        <v>SV Werder Bremen</v>
      </c>
      <c r="I4" s="20"/>
      <c r="J4" s="19"/>
      <c r="K4" s="48" t="str">
        <f>+C9</f>
        <v>TB Hückeswagen</v>
      </c>
      <c r="L4" s="20"/>
      <c r="M4" s="19"/>
      <c r="N4" s="48" t="str">
        <f>+C11</f>
        <v>TV Kierdorf</v>
      </c>
      <c r="O4" s="20"/>
      <c r="P4" s="19"/>
      <c r="Q4" s="50" t="str">
        <f>+C13</f>
        <v>TSV Krumbach</v>
      </c>
      <c r="R4" s="20"/>
      <c r="S4" s="19"/>
      <c r="T4" s="51" t="s">
        <v>24</v>
      </c>
      <c r="U4" s="20"/>
      <c r="V4" s="52" t="s">
        <v>25</v>
      </c>
      <c r="AC4" s="61"/>
    </row>
    <row r="5" spans="2:28" ht="15" customHeight="1">
      <c r="B5" s="99" t="str">
        <f>IF(Daten!B5="","",Daten!B5)</f>
        <v>4.N</v>
      </c>
      <c r="C5" s="27" t="str">
        <f>IF(Daten!C5="","",Daten!C5)</f>
        <v>TV Kleefeld</v>
      </c>
      <c r="D5" s="91"/>
      <c r="E5" s="92"/>
      <c r="F5" s="93"/>
      <c r="G5" s="30">
        <f>IF('Samstag Haupt'!$Q72="","",'Samstag Haupt'!$Q72)</f>
        <v>32</v>
      </c>
      <c r="H5" s="9" t="s">
        <v>27</v>
      </c>
      <c r="I5" s="31">
        <f>IF('Samstag Haupt'!$S72="","",'Samstag Haupt'!$S72)</f>
        <v>45</v>
      </c>
      <c r="J5" s="30">
        <f>IF('Samstag Haupt'!$Q92="","",'Samstag Haupt'!$Q92)</f>
        <v>44</v>
      </c>
      <c r="K5" s="9" t="s">
        <v>27</v>
      </c>
      <c r="L5" s="31">
        <f>IF('Samstag Haupt'!$S92="","",'Samstag Haupt'!$S92)</f>
        <v>40</v>
      </c>
      <c r="M5" s="30">
        <f>IF('Samstag Haupt'!$Q104="","",'Samstag Haupt'!$Q104)</f>
        <v>31</v>
      </c>
      <c r="N5" s="9" t="s">
        <v>27</v>
      </c>
      <c r="O5" s="31">
        <f>IF('Samstag Haupt'!$S104="","",'Samstag Haupt'!$S104)</f>
        <v>30</v>
      </c>
      <c r="P5" s="30">
        <f>IF('Samstag Haupt'!$Q80="","",'Samstag Haupt'!$Q80)</f>
        <v>35</v>
      </c>
      <c r="Q5" s="9" t="s">
        <v>27</v>
      </c>
      <c r="R5" s="31">
        <f>IF('Samstag Haupt'!$S80="","",'Samstag Haupt'!$S80)</f>
        <v>42</v>
      </c>
      <c r="S5" s="30">
        <f>IF(X6="","",SUM(D5,G5,J5,M5,P5))</f>
        <v>142</v>
      </c>
      <c r="T5" s="9" t="s">
        <v>27</v>
      </c>
      <c r="U5" s="31">
        <f>IF(X6="","",SUM(F5,I5,L5,O5,R5))</f>
        <v>157</v>
      </c>
      <c r="V5" s="6">
        <v>2</v>
      </c>
      <c r="X5" s="11" t="s">
        <v>29</v>
      </c>
      <c r="AA5">
        <v>1</v>
      </c>
      <c r="AB5" s="90" t="str">
        <f>IF(V5="","",IF($V$5=1,$C$5,IF($V$7=1,$C$7,IF($V$9=1,$C$9,IF($V$11=1,$C$11,IF($V$13=1,$C$13,0))))))</f>
        <v>TSV Krumbach</v>
      </c>
    </row>
    <row r="6" spans="2:28" ht="10.5" customHeight="1">
      <c r="B6" s="202"/>
      <c r="C6" s="203"/>
      <c r="D6" s="94"/>
      <c r="E6" s="95"/>
      <c r="F6" s="96"/>
      <c r="G6" s="13">
        <f>IF(G5="","",IF(G5&gt;I5,2,IF(G5&lt;I5,0,1)))</f>
        <v>0</v>
      </c>
      <c r="H6" s="7" t="s">
        <v>28</v>
      </c>
      <c r="I6" s="14">
        <f>IF(I5="","",IF(I5&gt;G5,2,IF(I5&lt;G5,0,1)))</f>
        <v>2</v>
      </c>
      <c r="J6" s="13">
        <f>IF(J5="","",IF(J5&gt;L5,2,IF(J5&lt;L5,0,1)))</f>
        <v>2</v>
      </c>
      <c r="K6" s="7" t="s">
        <v>28</v>
      </c>
      <c r="L6" s="14">
        <f>IF(L5="","",IF(L5&gt;J5,2,IF(L5&lt;J5,0,1)))</f>
        <v>0</v>
      </c>
      <c r="M6" s="13">
        <f>IF(M5="","",IF(M5&gt;O5,2,IF(M5&lt;O5,0,1)))</f>
        <v>2</v>
      </c>
      <c r="N6" s="7" t="s">
        <v>28</v>
      </c>
      <c r="O6" s="14">
        <f>IF(O5="","",IF(O5&gt;M5,2,IF(O5&lt;M5,0,1)))</f>
        <v>0</v>
      </c>
      <c r="P6" s="13">
        <f>IF(P5="","",IF(P5&gt;R5,2,IF(P5&lt;R5,0,1)))</f>
        <v>0</v>
      </c>
      <c r="Q6" s="7" t="s">
        <v>28</v>
      </c>
      <c r="R6" s="14">
        <f>IF(R5="","",IF(R5&gt;P5,2,IF(R5&lt;P5,0,1)))</f>
        <v>2</v>
      </c>
      <c r="S6" s="13">
        <f>IF(X6="","",SUM(D6,G6,J6,M6,P6))</f>
        <v>4</v>
      </c>
      <c r="T6" s="7" t="s">
        <v>28</v>
      </c>
      <c r="U6" s="14">
        <f>IF(X6="","",SUM(F6,I6,L6,O6,R6))</f>
        <v>4</v>
      </c>
      <c r="V6" s="15"/>
      <c r="W6" s="16">
        <f>+(S6-U6)+S5/U5+S6</f>
        <v>4.904458598726115</v>
      </c>
      <c r="X6" s="11" t="s">
        <v>29</v>
      </c>
      <c r="AB6" s="90"/>
    </row>
    <row r="7" spans="2:28" ht="15" customHeight="1">
      <c r="B7" s="46" t="str">
        <f>IF(Daten!B6="","",Daten!B6)</f>
        <v>2.N</v>
      </c>
      <c r="C7" s="27" t="str">
        <f>IF(Daten!C6="","",Daten!C6)</f>
        <v>SV Werder Bremen</v>
      </c>
      <c r="D7" s="30">
        <f>IF(I5="","",I5)</f>
        <v>45</v>
      </c>
      <c r="E7" s="9" t="s">
        <v>27</v>
      </c>
      <c r="F7" s="31">
        <f>IF(G5="","",G5)</f>
        <v>32</v>
      </c>
      <c r="G7" s="91"/>
      <c r="H7" s="92"/>
      <c r="I7" s="93"/>
      <c r="J7" s="30">
        <f>IF('Samstag Haupt'!$Q84="","",'Samstag Haupt'!$Q84)</f>
        <v>35</v>
      </c>
      <c r="K7" s="9" t="s">
        <v>27</v>
      </c>
      <c r="L7" s="31">
        <f>IF('Samstag Haupt'!$S84="","",'Samstag Haupt'!$S84)</f>
        <v>39</v>
      </c>
      <c r="M7" s="30">
        <f>IF('Samstag Haupt'!$Q96="","",'Samstag Haupt'!$Q96)</f>
        <v>33</v>
      </c>
      <c r="N7" s="9" t="s">
        <v>27</v>
      </c>
      <c r="O7" s="31">
        <f>IF('Samstag Haupt'!$S96="","",'Samstag Haupt'!$S96)</f>
        <v>34</v>
      </c>
      <c r="P7" s="30">
        <f>IF('Samstag Haupt'!$Q108="","",'Samstag Haupt'!$Q108)</f>
        <v>35</v>
      </c>
      <c r="Q7" s="9" t="s">
        <v>27</v>
      </c>
      <c r="R7" s="31">
        <f>IF('Samstag Haupt'!$S108="","",'Samstag Haupt'!$S108)</f>
        <v>45</v>
      </c>
      <c r="S7" s="8">
        <f>IF(X8="","",SUM(D7,G7,J7,M7,P7))</f>
        <v>148</v>
      </c>
      <c r="T7" s="9" t="s">
        <v>27</v>
      </c>
      <c r="U7" s="10">
        <f>IF(X8="","",SUM(F7,I7,L7,O7,R7))</f>
        <v>150</v>
      </c>
      <c r="V7" s="6">
        <f>IF(X7="","",RANK(W8,($W$6,$W$8,$W$10,$W$12,$W$14),0))</f>
        <v>4</v>
      </c>
      <c r="X7" s="11" t="s">
        <v>29</v>
      </c>
      <c r="AA7">
        <v>2</v>
      </c>
      <c r="AB7" s="90" t="str">
        <f>IF(V7="","",IF($V$5=2,$C$5,IF($V$7=2,$C$7,IF($V$9=2,$C$9,IF($V$11=2,$C$11,IF($V$13=2,$C$13,0))))))</f>
        <v>TV Kleefeld</v>
      </c>
    </row>
    <row r="8" spans="2:28" ht="10.5" customHeight="1">
      <c r="B8" s="100"/>
      <c r="C8" s="203"/>
      <c r="D8" s="13">
        <f>IF(D7="","",IF(D7&gt;F7,2,IF(D7&lt;F7,0,1)))</f>
        <v>2</v>
      </c>
      <c r="E8" s="7" t="s">
        <v>28</v>
      </c>
      <c r="F8" s="14">
        <f>IF(F7="","",IF(F7&gt;D7,2,IF(F7&lt;D7,0,1)))</f>
        <v>0</v>
      </c>
      <c r="G8" s="94"/>
      <c r="H8" s="95"/>
      <c r="I8" s="96"/>
      <c r="J8" s="13">
        <f>IF(J7="","",IF(J7&gt;L7,2,IF(J7&lt;L7,0,1)))</f>
        <v>0</v>
      </c>
      <c r="K8" s="7" t="s">
        <v>28</v>
      </c>
      <c r="L8" s="14">
        <f>IF(L7="","",IF(L7&gt;J7,2,IF(L7&lt;J7,0,1)))</f>
        <v>2</v>
      </c>
      <c r="M8" s="13">
        <f>IF(M7="","",IF(M7&gt;O7,2,IF(M7&lt;O7,0,1)))</f>
        <v>0</v>
      </c>
      <c r="N8" s="7" t="s">
        <v>28</v>
      </c>
      <c r="O8" s="14">
        <f>IF(O7="","",IF(O7&gt;M7,2,IF(O7&lt;M7,0,1)))</f>
        <v>2</v>
      </c>
      <c r="P8" s="13">
        <f>IF(P7="","",IF(P7&gt;R7,2,IF(P7&lt;R7,0,1)))</f>
        <v>0</v>
      </c>
      <c r="Q8" s="7" t="s">
        <v>28</v>
      </c>
      <c r="R8" s="14">
        <f>IF(R7="","",IF(R7&gt;P7,2,IF(R7&lt;P7,0,1)))</f>
        <v>2</v>
      </c>
      <c r="S8" s="13">
        <f>IF(X8="","",SUM(D8,G8,J8,M8,P8))</f>
        <v>2</v>
      </c>
      <c r="T8" s="7" t="s">
        <v>28</v>
      </c>
      <c r="U8" s="14">
        <f>IF(X8="","",SUM(F8,I8,L8,O8,R8))</f>
        <v>6</v>
      </c>
      <c r="V8" s="15"/>
      <c r="W8" s="16">
        <f>+(S8-U8)+S7/U7+S8</f>
        <v>-1.0133333333333332</v>
      </c>
      <c r="X8" s="11" t="s">
        <v>29</v>
      </c>
      <c r="AB8" s="90"/>
    </row>
    <row r="9" spans="2:28" ht="15" customHeight="1">
      <c r="B9" s="46" t="str">
        <f>IF(Daten!B7="","",Daten!B7)</f>
        <v>3.W</v>
      </c>
      <c r="C9" s="27" t="str">
        <f>IF(Daten!C7="","",Daten!C7)</f>
        <v>TB Hückeswagen</v>
      </c>
      <c r="D9" s="30">
        <f>IF(L5="","",L5)</f>
        <v>40</v>
      </c>
      <c r="E9" s="9" t="s">
        <v>27</v>
      </c>
      <c r="F9" s="31">
        <f>IF(J5="","",J5)</f>
        <v>44</v>
      </c>
      <c r="G9" s="30">
        <f>IF(L7="","",L7)</f>
        <v>39</v>
      </c>
      <c r="H9" s="9" t="s">
        <v>27</v>
      </c>
      <c r="I9" s="31">
        <f>IF(J7="","",J7)</f>
        <v>35</v>
      </c>
      <c r="J9" s="91"/>
      <c r="K9" s="92"/>
      <c r="L9" s="93"/>
      <c r="M9" s="30">
        <f>IF('Samstag Haupt'!$Q76="","",'Samstag Haupt'!$Q76)</f>
        <v>25</v>
      </c>
      <c r="N9" s="9" t="s">
        <v>27</v>
      </c>
      <c r="O9" s="31">
        <f>IF('Samstag Haupt'!$S76="","",'Samstag Haupt'!$S76)</f>
        <v>39</v>
      </c>
      <c r="P9" s="30">
        <f>IF('Samstag Haupt'!$Q100="","",'Samstag Haupt'!$Q100)</f>
        <v>34</v>
      </c>
      <c r="Q9" s="9" t="s">
        <v>27</v>
      </c>
      <c r="R9" s="31">
        <f>IF('Samstag Haupt'!$S100="","",'Samstag Haupt'!$S100)</f>
        <v>39</v>
      </c>
      <c r="S9" s="8">
        <f>IF(X10="","",SUM(D9,G9,J9,M9,P9))</f>
        <v>138</v>
      </c>
      <c r="T9" s="9" t="s">
        <v>27</v>
      </c>
      <c r="U9" s="10">
        <f>IF(X10="","",SUM(F9,I9,L9,O9,R9))</f>
        <v>157</v>
      </c>
      <c r="V9" s="6">
        <f>IF(X9="","",RANK(W10,($W$6,$W$8,$W$10,$W$12,$W$14),0))</f>
        <v>5</v>
      </c>
      <c r="X9" s="11" t="s">
        <v>29</v>
      </c>
      <c r="AA9">
        <v>3</v>
      </c>
      <c r="AB9" s="90" t="str">
        <f>IF(V9="","",IF($V$5=3,$C$5,IF($V$7=3,$C$7,IF($V$9=3,$C$9,IF($V$11=3,$C$11,IF($V$13=3,$C$13,0))))))</f>
        <v>TV Kierdorf</v>
      </c>
    </row>
    <row r="10" spans="2:28" ht="10.5" customHeight="1">
      <c r="B10" s="101"/>
      <c r="C10" s="203"/>
      <c r="D10" s="13">
        <f>IF(D9="","",IF(D9&gt;F9,2,IF(D9&lt;F9,0,1)))</f>
        <v>0</v>
      </c>
      <c r="E10" s="7" t="s">
        <v>28</v>
      </c>
      <c r="F10" s="14">
        <f>IF(F9="","",IF(F9&gt;D9,2,IF(F9&lt;D9,0,1)))</f>
        <v>2</v>
      </c>
      <c r="G10" s="13">
        <f>IF(G9="","",IF(G9&gt;I9,2,IF(G9&lt;I9,0,1)))</f>
        <v>2</v>
      </c>
      <c r="H10" s="7" t="s">
        <v>28</v>
      </c>
      <c r="I10" s="14">
        <f>IF(I9="","",IF(I9&gt;G9,2,IF(I9&lt;G9,0,1)))</f>
        <v>0</v>
      </c>
      <c r="J10" s="94"/>
      <c r="K10" s="95"/>
      <c r="L10" s="96"/>
      <c r="M10" s="13">
        <f>IF(M9="","",IF(M9&gt;O9,2,IF(M9&lt;O9,0,1)))</f>
        <v>0</v>
      </c>
      <c r="N10" s="7" t="s">
        <v>28</v>
      </c>
      <c r="O10" s="14">
        <f>IF(O9="","",IF(O9&gt;M9,2,IF(O9&lt;M9,0,1)))</f>
        <v>2</v>
      </c>
      <c r="P10" s="13">
        <f>IF(P9="","",IF(P9&gt;R9,2,IF(P9&lt;R9,0,1)))</f>
        <v>0</v>
      </c>
      <c r="Q10" s="7" t="s">
        <v>28</v>
      </c>
      <c r="R10" s="14">
        <f>IF(R9="","",IF(R9&gt;P9,2,IF(R9&lt;P9,0,1)))</f>
        <v>2</v>
      </c>
      <c r="S10" s="13">
        <f>IF(X10="","",SUM(D10,G10,J10,M10,P10))</f>
        <v>2</v>
      </c>
      <c r="T10" s="7" t="s">
        <v>28</v>
      </c>
      <c r="U10" s="14">
        <f>IF(X10="","",SUM(F10,I10,L10,O10,R10))</f>
        <v>6</v>
      </c>
      <c r="V10" s="15"/>
      <c r="W10" s="16">
        <f>+(S10-U10)+S9/U9+S10</f>
        <v>-1.1210191082802545</v>
      </c>
      <c r="X10" s="11" t="s">
        <v>29</v>
      </c>
      <c r="AB10" s="90"/>
    </row>
    <row r="11" spans="2:28" ht="15" customHeight="1">
      <c r="B11" s="46" t="str">
        <f>IF(Daten!B8="","",Daten!B8)</f>
        <v>1.W</v>
      </c>
      <c r="C11" s="27" t="str">
        <f>IF(Daten!C8="","",Daten!C8)</f>
        <v>TV Kierdorf</v>
      </c>
      <c r="D11" s="30">
        <f>IF(O5="","",O5)</f>
        <v>30</v>
      </c>
      <c r="E11" s="9" t="s">
        <v>27</v>
      </c>
      <c r="F11" s="31">
        <f>IF(M5="","",M5)</f>
        <v>31</v>
      </c>
      <c r="G11" s="30">
        <f>IF(O7="","",O7)</f>
        <v>34</v>
      </c>
      <c r="H11" s="9" t="s">
        <v>27</v>
      </c>
      <c r="I11" s="31">
        <f>IF(M7="","",M7)</f>
        <v>33</v>
      </c>
      <c r="J11" s="30">
        <f>IF(O9="","",O9)</f>
        <v>39</v>
      </c>
      <c r="K11" s="9" t="s">
        <v>27</v>
      </c>
      <c r="L11" s="31">
        <f>IF(M9="","",M9)</f>
        <v>25</v>
      </c>
      <c r="M11" s="91"/>
      <c r="N11" s="92"/>
      <c r="O11" s="93"/>
      <c r="P11" s="30">
        <f>IF('Samstag Haupt'!$Q88="","",'Samstag Haupt'!$Q88)</f>
        <v>32</v>
      </c>
      <c r="Q11" s="9" t="s">
        <v>27</v>
      </c>
      <c r="R11" s="31">
        <f>IF('Samstag Haupt'!$S88="","",'Samstag Haupt'!$S88)</f>
        <v>36</v>
      </c>
      <c r="S11" s="8">
        <f>IF(X12="","",SUM(D11,G11,J11,M11,P11))</f>
        <v>135</v>
      </c>
      <c r="T11" s="9" t="s">
        <v>27</v>
      </c>
      <c r="U11" s="10">
        <f>IF(X12="","",SUM(F11,I11,L11,O11,R11))</f>
        <v>125</v>
      </c>
      <c r="V11" s="6">
        <v>3</v>
      </c>
      <c r="X11" s="11" t="s">
        <v>29</v>
      </c>
      <c r="AA11">
        <v>4</v>
      </c>
      <c r="AB11" s="90" t="str">
        <f>IF(V11="","",IF($V$5=4,$C$5,IF($V$7=4,$C$7,IF($V$9=4,$C$9,IF($V$11=4,$C$11,IF($V$13=4,$C$13,0))))))</f>
        <v>SV Werder Bremen</v>
      </c>
    </row>
    <row r="12" spans="2:28" ht="10.5" customHeight="1">
      <c r="B12" s="101"/>
      <c r="C12" s="203"/>
      <c r="D12" s="13">
        <f>IF(D11="","",IF(D11&gt;F11,2,IF(D11&lt;F11,0,1)))</f>
        <v>0</v>
      </c>
      <c r="E12" s="7" t="s">
        <v>28</v>
      </c>
      <c r="F12" s="14">
        <f>IF(F11="","",IF(F11&gt;D11,2,IF(F11&lt;D11,0,1)))</f>
        <v>2</v>
      </c>
      <c r="G12" s="13">
        <f>IF(G11="","",IF(G11&gt;I11,2,IF(G11&lt;I11,0,1)))</f>
        <v>2</v>
      </c>
      <c r="H12" s="7" t="s">
        <v>28</v>
      </c>
      <c r="I12" s="14">
        <f>IF(I11="","",IF(I11&gt;G11,2,IF(I11&lt;G11,0,1)))</f>
        <v>0</v>
      </c>
      <c r="J12" s="13">
        <f>IF(J11="","",IF(J11&gt;L11,2,IF(J11&lt;L11,0,1)))</f>
        <v>2</v>
      </c>
      <c r="K12" s="7" t="s">
        <v>28</v>
      </c>
      <c r="L12" s="14">
        <f>IF(L11="","",IF(L11&gt;J11,2,IF(L11&lt;J11,0,1)))</f>
        <v>0</v>
      </c>
      <c r="M12" s="94"/>
      <c r="N12" s="95"/>
      <c r="O12" s="96"/>
      <c r="P12" s="13">
        <f>IF(P11="","",IF(P11&gt;R11,2,IF(P11&lt;R11,0,1)))</f>
        <v>0</v>
      </c>
      <c r="Q12" s="7" t="s">
        <v>28</v>
      </c>
      <c r="R12" s="14">
        <f>IF(R11="","",IF(R11&gt;P11,2,IF(R11&lt;P11,0,1)))</f>
        <v>2</v>
      </c>
      <c r="S12" s="13">
        <f>IF(X12="","",SUM(D12,G12,J12,M12,P12))</f>
        <v>4</v>
      </c>
      <c r="T12" s="7" t="s">
        <v>28</v>
      </c>
      <c r="U12" s="14">
        <f>IF(X12="","",SUM(F12,I12,L12,O12,R12))</f>
        <v>4</v>
      </c>
      <c r="V12" s="15"/>
      <c r="W12" s="16">
        <f>+(S12-U12)+S11/U11+S12</f>
        <v>5.08</v>
      </c>
      <c r="X12" s="11" t="s">
        <v>29</v>
      </c>
      <c r="AB12" s="90"/>
    </row>
    <row r="13" spans="2:28" ht="15" customHeight="1">
      <c r="B13" s="46" t="str">
        <f>IF(Daten!B9="","",Daten!B9)</f>
        <v>1.S</v>
      </c>
      <c r="C13" s="27" t="str">
        <f>IF(Daten!C9="","",Daten!C9)</f>
        <v>TSV Krumbach</v>
      </c>
      <c r="D13" s="30">
        <f>IF(R5="","",R5)</f>
        <v>42</v>
      </c>
      <c r="E13" s="9" t="s">
        <v>27</v>
      </c>
      <c r="F13" s="31">
        <f>IF(P5="","",P5)</f>
        <v>35</v>
      </c>
      <c r="G13" s="30">
        <f>IF(R7="","",R7)</f>
        <v>45</v>
      </c>
      <c r="H13" s="9" t="s">
        <v>27</v>
      </c>
      <c r="I13" s="31">
        <f>IF(P7="","",P7)</f>
        <v>35</v>
      </c>
      <c r="J13" s="30">
        <f>IF(R9="","",R9)</f>
        <v>39</v>
      </c>
      <c r="K13" s="9" t="s">
        <v>27</v>
      </c>
      <c r="L13" s="31">
        <f>IF(P9="","",P9)</f>
        <v>34</v>
      </c>
      <c r="M13" s="30">
        <f>IF(R11="","",R11)</f>
        <v>36</v>
      </c>
      <c r="N13" s="9" t="s">
        <v>27</v>
      </c>
      <c r="O13" s="31">
        <f>IF(P11="","",P11)</f>
        <v>32</v>
      </c>
      <c r="P13" s="91"/>
      <c r="Q13" s="92"/>
      <c r="R13" s="93"/>
      <c r="S13" s="8">
        <f>IF(X14="","",SUM(D13,G13,J13,M13,P13))</f>
        <v>162</v>
      </c>
      <c r="T13" s="9" t="s">
        <v>27</v>
      </c>
      <c r="U13" s="10">
        <f>IF(X14="","",SUM(F13,I13,L13,O13,R13))</f>
        <v>136</v>
      </c>
      <c r="V13" s="6">
        <f>IF(X13="","",RANK(W14,($W$6,$W$8,$W$10,$W$12,$W$14),0))</f>
        <v>1</v>
      </c>
      <c r="X13" s="11" t="s">
        <v>29</v>
      </c>
      <c r="AA13">
        <v>5</v>
      </c>
      <c r="AB13" s="90" t="str">
        <f>IF(V13="","",IF($V$5=5,$C$5,IF($V$7=5,$C$7,IF($V$9=5,$C$9,IF($V$11=5,$C$11,IF($V$13=5,$C$13,0))))))</f>
        <v>TB Hückeswagen</v>
      </c>
    </row>
    <row r="14" spans="2:24" ht="10.5" customHeight="1">
      <c r="B14" s="101"/>
      <c r="C14" s="203"/>
      <c r="D14" s="13">
        <f>IF(D13="","",IF(D13&gt;F13,2,IF(D13&lt;F13,0,1)))</f>
        <v>2</v>
      </c>
      <c r="E14" s="7" t="s">
        <v>28</v>
      </c>
      <c r="F14" s="14">
        <f>IF(F13="","",IF(F13&gt;D13,2,IF(F13&lt;D13,0,1)))</f>
        <v>0</v>
      </c>
      <c r="G14" s="13">
        <f>IF(G13="","",IF(G13&gt;I13,2,IF(G13&lt;I13,0,1)))</f>
        <v>2</v>
      </c>
      <c r="H14" s="7" t="s">
        <v>28</v>
      </c>
      <c r="I14" s="14">
        <f>IF(I13="","",IF(I13&gt;G13,2,IF(I13&lt;G13,0,1)))</f>
        <v>0</v>
      </c>
      <c r="J14" s="13">
        <f>IF(J13="","",IF(J13&gt;L13,2,IF(J13&lt;L13,0,1)))</f>
        <v>2</v>
      </c>
      <c r="K14" s="7" t="s">
        <v>28</v>
      </c>
      <c r="L14" s="14">
        <f>IF(L13="","",IF(L13&gt;J13,2,IF(L13&lt;J13,0,1)))</f>
        <v>0</v>
      </c>
      <c r="M14" s="13">
        <f>IF(M13="","",IF(M13&gt;O13,2,IF(M13&lt;O13,0,1)))</f>
        <v>2</v>
      </c>
      <c r="N14" s="7" t="s">
        <v>28</v>
      </c>
      <c r="O14" s="14">
        <f>IF(O13="","",IF(O13&gt;M13,2,IF(O13&lt;M13,0,1)))</f>
        <v>0</v>
      </c>
      <c r="P14" s="94"/>
      <c r="Q14" s="95"/>
      <c r="R14" s="96"/>
      <c r="S14" s="13">
        <f>IF(X14="","",SUM(D14,G14,J14,M14,P14))</f>
        <v>8</v>
      </c>
      <c r="T14" s="7" t="s">
        <v>28</v>
      </c>
      <c r="U14" s="14">
        <f>IF(X14="","",SUM(F14,I14,L14,O14,R14))</f>
        <v>0</v>
      </c>
      <c r="V14" s="15"/>
      <c r="W14" s="16">
        <f>+(S14-U14)+S13/U13+S14</f>
        <v>17.191176470588236</v>
      </c>
      <c r="X14" s="11" t="s">
        <v>29</v>
      </c>
    </row>
    <row r="15" spans="2:24" ht="9.75" customHeight="1">
      <c r="B15" s="41"/>
      <c r="C15" s="41"/>
      <c r="D15" s="42"/>
      <c r="E15" s="9"/>
      <c r="F15" s="43"/>
      <c r="G15" s="42"/>
      <c r="H15" s="9"/>
      <c r="I15" s="43"/>
      <c r="J15" s="42"/>
      <c r="K15" s="9"/>
      <c r="L15" s="43"/>
      <c r="M15" s="42"/>
      <c r="N15" s="9"/>
      <c r="O15" s="43"/>
      <c r="P15" s="18"/>
      <c r="Q15" s="18"/>
      <c r="R15" s="18"/>
      <c r="S15" s="42"/>
      <c r="T15" s="9"/>
      <c r="U15" s="43"/>
      <c r="V15" s="5"/>
      <c r="W15" s="16"/>
      <c r="X15" s="11"/>
    </row>
    <row r="16" spans="2:24" ht="9.75" customHeight="1" outlineLevel="1">
      <c r="B16" s="103" t="s">
        <v>30</v>
      </c>
      <c r="C16" s="32" t="str">
        <f>+C5</f>
        <v>TV Kleefeld</v>
      </c>
      <c r="D16" s="33"/>
      <c r="E16" s="142"/>
      <c r="F16" s="34"/>
      <c r="G16" s="35"/>
      <c r="H16" s="36" t="s">
        <v>27</v>
      </c>
      <c r="I16" s="37"/>
      <c r="J16" s="35"/>
      <c r="K16" s="36" t="s">
        <v>27</v>
      </c>
      <c r="L16" s="37"/>
      <c r="M16" s="35"/>
      <c r="N16" s="36" t="s">
        <v>27</v>
      </c>
      <c r="O16" s="37"/>
      <c r="P16" s="38"/>
      <c r="Q16" s="36" t="s">
        <v>27</v>
      </c>
      <c r="R16" s="110"/>
      <c r="S16" s="22"/>
      <c r="T16" s="23"/>
      <c r="U16" s="24"/>
      <c r="V16" s="25"/>
      <c r="W16" s="16"/>
      <c r="X16" s="11"/>
    </row>
    <row r="17" spans="2:24" ht="9.75" customHeight="1" outlineLevel="1">
      <c r="B17" s="21"/>
      <c r="C17" s="109" t="str">
        <f>+C7</f>
        <v>SV Werder Bremen</v>
      </c>
      <c r="D17" s="35">
        <f>IF(I16="","",I16)</f>
      </c>
      <c r="E17" s="36" t="s">
        <v>27</v>
      </c>
      <c r="F17" s="37">
        <f>IF(G16="","",G16)</f>
      </c>
      <c r="G17" s="33"/>
      <c r="H17" s="142"/>
      <c r="I17" s="34"/>
      <c r="J17" s="35"/>
      <c r="K17" s="36" t="s">
        <v>27</v>
      </c>
      <c r="L17" s="37"/>
      <c r="M17" s="35"/>
      <c r="N17" s="36" t="s">
        <v>27</v>
      </c>
      <c r="O17" s="37"/>
      <c r="P17" s="38"/>
      <c r="Q17" s="36" t="s">
        <v>27</v>
      </c>
      <c r="R17" s="110"/>
      <c r="S17" s="22"/>
      <c r="T17" s="23"/>
      <c r="U17" s="24"/>
      <c r="V17" s="25"/>
      <c r="W17" s="16"/>
      <c r="X17" s="11"/>
    </row>
    <row r="18" spans="2:24" ht="9.75" customHeight="1" outlineLevel="1">
      <c r="B18" s="21"/>
      <c r="C18" s="32" t="str">
        <f>+C9</f>
        <v>TB Hückeswagen</v>
      </c>
      <c r="D18" s="35">
        <f>IF(L16="","",L16)</f>
      </c>
      <c r="E18" s="36" t="s">
        <v>27</v>
      </c>
      <c r="F18" s="37">
        <f>IF(J16="","",J16)</f>
      </c>
      <c r="G18" s="35">
        <f>IF(L17="","",L17)</f>
      </c>
      <c r="H18" s="36" t="s">
        <v>27</v>
      </c>
      <c r="I18" s="37">
        <f>IF(J17="","",J17)</f>
      </c>
      <c r="J18" s="33"/>
      <c r="K18" s="142"/>
      <c r="L18" s="34"/>
      <c r="M18" s="35"/>
      <c r="N18" s="36" t="s">
        <v>27</v>
      </c>
      <c r="O18" s="37"/>
      <c r="P18" s="38"/>
      <c r="Q18" s="36" t="s">
        <v>27</v>
      </c>
      <c r="R18" s="110"/>
      <c r="S18" s="22"/>
      <c r="T18" s="23"/>
      <c r="U18" s="24"/>
      <c r="V18" s="25"/>
      <c r="W18" s="16"/>
      <c r="X18" s="11"/>
    </row>
    <row r="19" spans="2:24" ht="9.75" customHeight="1" outlineLevel="1">
      <c r="B19" s="21"/>
      <c r="C19" s="32" t="str">
        <f>+C11</f>
        <v>TV Kierdorf</v>
      </c>
      <c r="D19" s="35">
        <f>IF(O16="","",O16)</f>
      </c>
      <c r="E19" s="36" t="s">
        <v>27</v>
      </c>
      <c r="F19" s="37">
        <f>IF(M16="","",M16)</f>
      </c>
      <c r="G19" s="35">
        <f>IF(O17="","",O17)</f>
      </c>
      <c r="H19" s="36" t="s">
        <v>27</v>
      </c>
      <c r="I19" s="37">
        <f>IF(M17="","",M17)</f>
      </c>
      <c r="J19" s="35">
        <f>IF(O18="","",O18)</f>
      </c>
      <c r="K19" s="36" t="s">
        <v>27</v>
      </c>
      <c r="L19" s="37">
        <f>IF(M18="","",M18)</f>
      </c>
      <c r="M19" s="33"/>
      <c r="N19" s="142"/>
      <c r="O19" s="34"/>
      <c r="P19" s="38"/>
      <c r="Q19" s="36" t="s">
        <v>27</v>
      </c>
      <c r="R19" s="110"/>
      <c r="S19" s="22"/>
      <c r="T19" s="23"/>
      <c r="U19" s="24"/>
      <c r="V19" s="25"/>
      <c r="W19" s="16"/>
      <c r="X19" s="11"/>
    </row>
    <row r="20" spans="2:24" ht="9.75" customHeight="1" outlineLevel="1">
      <c r="B20" s="21"/>
      <c r="C20" s="32" t="str">
        <f>+C13</f>
        <v>TSV Krumbach</v>
      </c>
      <c r="D20" s="35">
        <f>IF(R16="","",R16)</f>
      </c>
      <c r="E20" s="36" t="s">
        <v>27</v>
      </c>
      <c r="F20" s="37">
        <f>IF(P16="","",P16)</f>
      </c>
      <c r="G20" s="35">
        <f>IF(R17="","",R17)</f>
      </c>
      <c r="H20" s="36" t="s">
        <v>27</v>
      </c>
      <c r="I20" s="37">
        <f>IF(P17="","",P17)</f>
      </c>
      <c r="J20" s="35">
        <f>IF(R18="","",R18)</f>
      </c>
      <c r="K20" s="36" t="s">
        <v>27</v>
      </c>
      <c r="L20" s="37">
        <f>IF(P18="","",P18)</f>
      </c>
      <c r="M20" s="35">
        <f>IF(R19="","",R19)</f>
      </c>
      <c r="N20" s="36" t="s">
        <v>27</v>
      </c>
      <c r="O20" s="37">
        <f>IF(P19="","",P19)</f>
      </c>
      <c r="P20" s="33"/>
      <c r="Q20" s="142"/>
      <c r="R20" s="34"/>
      <c r="S20" s="22"/>
      <c r="T20" s="23"/>
      <c r="U20" s="24"/>
      <c r="V20" s="25"/>
      <c r="W20" s="16"/>
      <c r="X20" s="11"/>
    </row>
    <row r="22" spans="2:22" ht="12.75" customHeight="1">
      <c r="B22" s="130"/>
      <c r="C22" s="69" t="str">
        <f>+Daten!F12</f>
        <v>Gruppe F</v>
      </c>
      <c r="D22" s="19"/>
      <c r="E22" s="48" t="str">
        <f>+C23</f>
        <v>SSC Dodesheide</v>
      </c>
      <c r="F22" s="20"/>
      <c r="G22" s="19"/>
      <c r="H22" s="48" t="str">
        <f>+C25</f>
        <v>VfK 1901 Berlin</v>
      </c>
      <c r="I22" s="20"/>
      <c r="J22" s="19"/>
      <c r="K22" s="48" t="str">
        <f>+C27</f>
        <v>SV Weiler</v>
      </c>
      <c r="L22" s="20"/>
      <c r="M22" s="19"/>
      <c r="N22" s="48" t="str">
        <f>+C29</f>
        <v>SV Prag Stuttgart</v>
      </c>
      <c r="O22" s="20"/>
      <c r="P22" s="19"/>
      <c r="Q22" s="48" t="str">
        <f>+C31</f>
        <v>SKG Ober Ramstadt</v>
      </c>
      <c r="R22" s="20"/>
      <c r="S22" s="19"/>
      <c r="T22" s="51" t="s">
        <v>24</v>
      </c>
      <c r="U22" s="20"/>
      <c r="V22" s="52" t="s">
        <v>25</v>
      </c>
    </row>
    <row r="23" spans="2:28" ht="15" customHeight="1">
      <c r="B23" s="46" t="str">
        <f>IF(Daten!E5="","",Daten!E5)</f>
        <v>3.N</v>
      </c>
      <c r="C23" s="27" t="str">
        <f>IF(Daten!F5="","",Daten!F5)</f>
        <v>SSC Dodesheide</v>
      </c>
      <c r="D23" s="91"/>
      <c r="E23" s="92"/>
      <c r="F23" s="93"/>
      <c r="G23" s="30">
        <f>IF('Samstag Haupt'!$Q73="","",'Samstag Haupt'!$Q73)</f>
        <v>37</v>
      </c>
      <c r="H23" s="9" t="s">
        <v>27</v>
      </c>
      <c r="I23" s="31">
        <f>IF('Samstag Haupt'!$S73="","",'Samstag Haupt'!$S73)</f>
        <v>38</v>
      </c>
      <c r="J23" s="30">
        <f>IF('Samstag Haupt'!$Q93="","",'Samstag Haupt'!$Q93)</f>
        <v>38</v>
      </c>
      <c r="K23" s="9" t="s">
        <v>27</v>
      </c>
      <c r="L23" s="31">
        <f>IF('Samstag Haupt'!$S93="","",'Samstag Haupt'!$S93)</f>
        <v>39</v>
      </c>
      <c r="M23" s="30">
        <f>IF('Samstag Haupt'!$Q105="","",'Samstag Haupt'!$Q105)</f>
        <v>40</v>
      </c>
      <c r="N23" s="9" t="s">
        <v>27</v>
      </c>
      <c r="O23" s="31">
        <f>IF('Samstag Haupt'!$S105="","",'Samstag Haupt'!$S105)</f>
        <v>37</v>
      </c>
      <c r="P23" s="30">
        <f>IF('Samstag Haupt'!$Q81="","",'Samstag Haupt'!$Q81)</f>
        <v>46</v>
      </c>
      <c r="Q23" s="9" t="s">
        <v>27</v>
      </c>
      <c r="R23" s="31">
        <f>IF('Samstag Haupt'!$S81="","",'Samstag Haupt'!$S81)</f>
        <v>30</v>
      </c>
      <c r="S23" s="30">
        <f>IF(X24="","",SUM(D23,G23,J23,M23,P23))</f>
        <v>161</v>
      </c>
      <c r="T23" s="9" t="s">
        <v>27</v>
      </c>
      <c r="U23" s="31">
        <f>IF(X24="","",SUM(F23,I23,L23,O23,R23))</f>
        <v>144</v>
      </c>
      <c r="V23" s="26">
        <v>4</v>
      </c>
      <c r="X23" s="11" t="s">
        <v>29</v>
      </c>
      <c r="AA23">
        <v>1</v>
      </c>
      <c r="AB23" t="str">
        <f>IF(V23="","",IF($V$23=1,$C$23,IF($V$25=1,$C$25,IF($V$27=1,$C$27,IF($V$29=1,$C$29,IF($V$31=1,$C$31,0))))))</f>
        <v>SV Weiler</v>
      </c>
    </row>
    <row r="24" spans="2:24" ht="10.5" customHeight="1">
      <c r="B24" s="97"/>
      <c r="C24" s="204"/>
      <c r="D24" s="94"/>
      <c r="E24" s="95"/>
      <c r="F24" s="96"/>
      <c r="G24" s="13">
        <f>IF(G23="","",IF(G23&gt;I23,2,IF(G23&lt;I23,0,1)))</f>
        <v>0</v>
      </c>
      <c r="H24" s="7" t="s">
        <v>28</v>
      </c>
      <c r="I24" s="14">
        <f>IF(I23="","",IF(I23&gt;G23,2,IF(I23&lt;G23,0,1)))</f>
        <v>2</v>
      </c>
      <c r="J24" s="13">
        <f>IF(J23="","",IF(J23&gt;L23,2,IF(J23&lt;L23,0,1)))</f>
        <v>0</v>
      </c>
      <c r="K24" s="7" t="s">
        <v>28</v>
      </c>
      <c r="L24" s="14">
        <f>IF(L23="","",IF(L23&gt;J23,2,IF(L23&lt;J23,0,1)))</f>
        <v>2</v>
      </c>
      <c r="M24" s="13">
        <f>IF(M23="","",IF(M23&gt;O23,2,IF(M23&lt;O23,0,1)))</f>
        <v>2</v>
      </c>
      <c r="N24" s="7" t="s">
        <v>28</v>
      </c>
      <c r="O24" s="14">
        <f>IF(O23="","",IF(O23&gt;M23,2,IF(O23&lt;M23,0,1)))</f>
        <v>0</v>
      </c>
      <c r="P24" s="13">
        <f>IF(P23="","",IF(P23&gt;R23,2,IF(P23&lt;R23,0,1)))</f>
        <v>2</v>
      </c>
      <c r="Q24" s="7" t="s">
        <v>28</v>
      </c>
      <c r="R24" s="14">
        <f>IF(R23="","",IF(R23&gt;P23,2,IF(R23&lt;P23,0,1)))</f>
        <v>0</v>
      </c>
      <c r="S24" s="13">
        <f>IF(X24="","",SUM(D24,G24,J24,M24,P24))</f>
        <v>4</v>
      </c>
      <c r="T24" s="7" t="s">
        <v>28</v>
      </c>
      <c r="U24" s="14">
        <f>IF(X24="","",SUM(F24,I24,L24,O24,R24))</f>
        <v>4</v>
      </c>
      <c r="V24" s="15"/>
      <c r="W24" s="16">
        <f>+(S24-U24)+S23/U23+S24</f>
        <v>5.118055555555555</v>
      </c>
      <c r="X24" s="11" t="s">
        <v>29</v>
      </c>
    </row>
    <row r="25" spans="2:28" ht="15" customHeight="1">
      <c r="B25" s="46" t="str">
        <f>IF(Daten!E6="","",Daten!E6)</f>
        <v>1.N</v>
      </c>
      <c r="C25" s="27" t="str">
        <f>IF(Daten!F6="","",Daten!F6)</f>
        <v>VfK 1901 Berlin</v>
      </c>
      <c r="D25" s="30">
        <f>IF(I23="","",I23)</f>
        <v>38</v>
      </c>
      <c r="E25" s="9" t="s">
        <v>27</v>
      </c>
      <c r="F25" s="31">
        <f>IF(G23="","",G23)</f>
        <v>37</v>
      </c>
      <c r="G25" s="91"/>
      <c r="H25" s="92"/>
      <c r="I25" s="93"/>
      <c r="J25" s="30">
        <f>IF('Samstag Haupt'!$Q85="","",'Samstag Haupt'!$Q85)</f>
        <v>39</v>
      </c>
      <c r="K25" s="9" t="s">
        <v>27</v>
      </c>
      <c r="L25" s="31">
        <f>IF('Samstag Haupt'!$S85="","",'Samstag Haupt'!$S85)</f>
        <v>40</v>
      </c>
      <c r="M25" s="30">
        <f>IF('Samstag Haupt'!$Q97="","",'Samstag Haupt'!$Q97)</f>
        <v>30</v>
      </c>
      <c r="N25" s="9" t="s">
        <v>27</v>
      </c>
      <c r="O25" s="31">
        <f>IF('Samstag Haupt'!$S97="","",'Samstag Haupt'!$S97)</f>
        <v>33</v>
      </c>
      <c r="P25" s="30">
        <f>IF('Samstag Haupt'!$Q109="","",'Samstag Haupt'!$Q109)</f>
        <v>37</v>
      </c>
      <c r="Q25" s="9" t="s">
        <v>27</v>
      </c>
      <c r="R25" s="31">
        <f>IF('Samstag Haupt'!$S109="","",'Samstag Haupt'!$S109)</f>
        <v>33</v>
      </c>
      <c r="S25" s="30">
        <f>IF(X26="","",SUM(D25,G25,J25,M25,P25))</f>
        <v>144</v>
      </c>
      <c r="T25" s="9" t="s">
        <v>27</v>
      </c>
      <c r="U25" s="31">
        <f>IF(X26="","",SUM(F25,I25,L25,O25,R25))</f>
        <v>143</v>
      </c>
      <c r="V25" s="6">
        <v>3</v>
      </c>
      <c r="X25" s="11" t="s">
        <v>29</v>
      </c>
      <c r="AA25">
        <v>2</v>
      </c>
      <c r="AB25" t="str">
        <f>IF(V25="","",IF($V$23=2,$C$23,IF($V$25=2,$C$25,IF($V$27=2,$C$27,IF($V$29=2,$C$29,IF($V$31=2,$C$31,0))))))</f>
        <v>SV Prag Stuttgart</v>
      </c>
    </row>
    <row r="26" spans="2:24" ht="10.5" customHeight="1">
      <c r="B26" s="97"/>
      <c r="C26" s="204"/>
      <c r="D26" s="13">
        <f>IF(D25="","",IF(D25&gt;F25,2,IF(D25&lt;F25,0,1)))</f>
        <v>2</v>
      </c>
      <c r="E26" s="7" t="s">
        <v>28</v>
      </c>
      <c r="F26" s="14">
        <f>IF(F25="","",IF(F25&gt;D25,2,IF(F25&lt;D25,0,1)))</f>
        <v>0</v>
      </c>
      <c r="G26" s="94"/>
      <c r="H26" s="95"/>
      <c r="I26" s="96"/>
      <c r="J26" s="13">
        <f>IF(J25="","",IF(J25&gt;L25,2,IF(J25&lt;L25,0,1)))</f>
        <v>0</v>
      </c>
      <c r="K26" s="7" t="s">
        <v>28</v>
      </c>
      <c r="L26" s="14">
        <f>IF(L25="","",IF(L25&gt;J25,2,IF(L25&lt;J25,0,1)))</f>
        <v>2</v>
      </c>
      <c r="M26" s="13">
        <f>IF(M25="","",IF(M25&gt;O25,2,IF(M25&lt;O25,0,1)))</f>
        <v>0</v>
      </c>
      <c r="N26" s="7" t="s">
        <v>28</v>
      </c>
      <c r="O26" s="14">
        <f>IF(O25="","",IF(O25&gt;M25,2,IF(O25&lt;M25,0,1)))</f>
        <v>2</v>
      </c>
      <c r="P26" s="13">
        <f>IF(P25="","",IF(P25&gt;R25,2,IF(P25&lt;R25,0,1)))</f>
        <v>2</v>
      </c>
      <c r="Q26" s="7" t="s">
        <v>28</v>
      </c>
      <c r="R26" s="14">
        <f>IF(R25="","",IF(R25&gt;P25,2,IF(R25&lt;P25,0,1)))</f>
        <v>0</v>
      </c>
      <c r="S26" s="13">
        <f>IF(X26="","",SUM(D26,G26,J26,M26,P26))</f>
        <v>4</v>
      </c>
      <c r="T26" s="7" t="s">
        <v>28</v>
      </c>
      <c r="U26" s="14">
        <f>IF(X26="","",SUM(F26,I26,L26,O26,R26))</f>
        <v>4</v>
      </c>
      <c r="V26" s="15"/>
      <c r="W26" s="16">
        <f>+(S26-U26)+S25/U25+S26</f>
        <v>5.006993006993007</v>
      </c>
      <c r="X26" s="11" t="s">
        <v>29</v>
      </c>
    </row>
    <row r="27" spans="2:28" ht="15" customHeight="1">
      <c r="B27" s="46" t="str">
        <f>IF(Daten!E7="","",Daten!E7)</f>
        <v>3.S</v>
      </c>
      <c r="C27" s="27" t="str">
        <f>IF(Daten!F7="","",Daten!F7)</f>
        <v>SV Weiler</v>
      </c>
      <c r="D27" s="30">
        <f>IF(L23="","",L23)</f>
        <v>39</v>
      </c>
      <c r="E27" s="9" t="s">
        <v>27</v>
      </c>
      <c r="F27" s="31">
        <f>IF(J23="","",J23)</f>
        <v>38</v>
      </c>
      <c r="G27" s="30">
        <f>IF(L25="","",L25)</f>
        <v>40</v>
      </c>
      <c r="H27" s="9" t="s">
        <v>27</v>
      </c>
      <c r="I27" s="31">
        <f>IF(J25="","",J25)</f>
        <v>39</v>
      </c>
      <c r="J27" s="91"/>
      <c r="K27" s="92"/>
      <c r="L27" s="93"/>
      <c r="M27" s="30">
        <f>IF('Samstag Haupt'!$Q77="","",'Samstag Haupt'!$Q77)</f>
        <v>37</v>
      </c>
      <c r="N27" s="9" t="s">
        <v>27</v>
      </c>
      <c r="O27" s="31">
        <f>IF('Samstag Haupt'!$S77="","",'Samstag Haupt'!$S77)</f>
        <v>37</v>
      </c>
      <c r="P27" s="30">
        <f>IF('Samstag Haupt'!$Q101="","",'Samstag Haupt'!$Q101)</f>
        <v>38</v>
      </c>
      <c r="Q27" s="9" t="s">
        <v>27</v>
      </c>
      <c r="R27" s="31">
        <f>IF('Samstag Haupt'!$S101="","",'Samstag Haupt'!$S101)</f>
        <v>38</v>
      </c>
      <c r="S27" s="30">
        <f>IF(X28="","",SUM(D27,G27,J27,M27,P27))</f>
        <v>154</v>
      </c>
      <c r="T27" s="9" t="s">
        <v>27</v>
      </c>
      <c r="U27" s="31">
        <f>IF(X28="","",SUM(F27,I27,L27,O27,R27))</f>
        <v>152</v>
      </c>
      <c r="V27" s="6">
        <f>IF(X27="","",RANK(W28,($W$24,$W$26,$W$28,$W$30,$W$32),0))</f>
        <v>1</v>
      </c>
      <c r="X27" s="11" t="s">
        <v>29</v>
      </c>
      <c r="AA27">
        <v>3</v>
      </c>
      <c r="AB27" t="str">
        <f>IF(V27="","",IF($V$23=3,$C$23,IF($V$25=3,$C$25,IF($V$27=3,$C$27,IF($V$29=3,$C$29,IF($V$31=3,$C$31,0))))))</f>
        <v>VfK 1901 Berlin</v>
      </c>
    </row>
    <row r="28" spans="2:24" ht="10.5" customHeight="1">
      <c r="B28" s="98"/>
      <c r="C28" s="204"/>
      <c r="D28" s="13">
        <f>IF(D27="","",IF(D27&gt;F27,2,IF(D27&lt;F27,0,1)))</f>
        <v>2</v>
      </c>
      <c r="E28" s="7" t="s">
        <v>28</v>
      </c>
      <c r="F28" s="14">
        <f>IF(F27="","",IF(F27&gt;D27,2,IF(F27&lt;D27,0,1)))</f>
        <v>0</v>
      </c>
      <c r="G28" s="13">
        <f>IF(G27="","",IF(G27&gt;I27,2,IF(G27&lt;I27,0,1)))</f>
        <v>2</v>
      </c>
      <c r="H28" s="7" t="s">
        <v>28</v>
      </c>
      <c r="I28" s="14">
        <f>IF(I27="","",IF(I27&gt;G27,2,IF(I27&lt;G27,0,1)))</f>
        <v>0</v>
      </c>
      <c r="J28" s="94"/>
      <c r="K28" s="95"/>
      <c r="L28" s="96"/>
      <c r="M28" s="13">
        <f>IF(M27="","",IF(M27&gt;O27,2,IF(M27&lt;O27,0,1)))</f>
        <v>1</v>
      </c>
      <c r="N28" s="7" t="s">
        <v>28</v>
      </c>
      <c r="O28" s="14">
        <f>IF(O27="","",IF(O27&gt;M27,2,IF(O27&lt;M27,0,1)))</f>
        <v>1</v>
      </c>
      <c r="P28" s="13">
        <f>IF(P27="","",IF(P27&gt;R27,2,IF(P27&lt;R27,0,1)))</f>
        <v>1</v>
      </c>
      <c r="Q28" s="7" t="s">
        <v>28</v>
      </c>
      <c r="R28" s="14">
        <f>IF(R27="","",IF(R27&gt;P27,2,IF(R27&lt;P27,0,1)))</f>
        <v>1</v>
      </c>
      <c r="S28" s="13">
        <f>IF(X28="","",SUM(D28,G28,J28,M28,P28))</f>
        <v>6</v>
      </c>
      <c r="T28" s="7" t="s">
        <v>28</v>
      </c>
      <c r="U28" s="14">
        <f>IF(X28="","",SUM(F28,I28,L28,O28,R28))</f>
        <v>2</v>
      </c>
      <c r="V28" s="15"/>
      <c r="W28" s="16">
        <f>+(S28-U28)+S27/U27+S28</f>
        <v>11.013157894736842</v>
      </c>
      <c r="X28" s="11" t="s">
        <v>29</v>
      </c>
    </row>
    <row r="29" spans="2:28" ht="15" customHeight="1">
      <c r="B29" s="46" t="str">
        <f>IF(Daten!E8="","",Daten!E8)</f>
        <v>2.S</v>
      </c>
      <c r="C29" s="27" t="str">
        <f>IF(Daten!F8="","",Daten!F8)</f>
        <v>SV Prag Stuttgart</v>
      </c>
      <c r="D29" s="30">
        <f>IF(O23="","",O23)</f>
        <v>37</v>
      </c>
      <c r="E29" s="9" t="s">
        <v>27</v>
      </c>
      <c r="F29" s="31">
        <f>IF(M23="","",M23)</f>
        <v>40</v>
      </c>
      <c r="G29" s="30">
        <f>IF(O25="","",O25)</f>
        <v>33</v>
      </c>
      <c r="H29" s="9" t="s">
        <v>27</v>
      </c>
      <c r="I29" s="31">
        <f>IF(M25="","",M25)</f>
        <v>30</v>
      </c>
      <c r="J29" s="30">
        <f>IF(O27="","",O27)</f>
        <v>37</v>
      </c>
      <c r="K29" s="9" t="s">
        <v>27</v>
      </c>
      <c r="L29" s="31">
        <f>IF(M27="","",M27)</f>
        <v>37</v>
      </c>
      <c r="M29" s="91"/>
      <c r="N29" s="92"/>
      <c r="O29" s="93"/>
      <c r="P29" s="30">
        <f>IF('Samstag Haupt'!$Q89="","",'Samstag Haupt'!$Q89)</f>
        <v>40</v>
      </c>
      <c r="Q29" s="9" t="s">
        <v>27</v>
      </c>
      <c r="R29" s="31">
        <f>IF('Samstag Haupt'!$S89="","",'Samstag Haupt'!$S89)</f>
        <v>36</v>
      </c>
      <c r="S29" s="30">
        <f>IF(X30="","",SUM(D29,G29,J29,M29,P29))</f>
        <v>147</v>
      </c>
      <c r="T29" s="9" t="s">
        <v>27</v>
      </c>
      <c r="U29" s="31">
        <f>IF(X30="","",SUM(F29,I29,L29,O29,R29))</f>
        <v>143</v>
      </c>
      <c r="V29" s="6">
        <f>IF(X29="","",RANK(W30,($W$24,$W$26,$W$28,$W$30,$W$32),0))</f>
        <v>2</v>
      </c>
      <c r="X29" s="11" t="s">
        <v>29</v>
      </c>
      <c r="AA29">
        <v>4</v>
      </c>
      <c r="AB29" t="str">
        <f>IF(V29="","",IF($V$23=4,$C$23,IF($V$25=4,$C$25,IF($V$27=4,$C$27,IF($V$29=4,$C$29,IF($V$31=4,$C$31,0))))))</f>
        <v>SSC Dodesheide</v>
      </c>
    </row>
    <row r="30" spans="2:24" ht="10.5" customHeight="1">
      <c r="B30" s="97"/>
      <c r="C30" s="204"/>
      <c r="D30" s="13">
        <f>IF(D29="","",IF(D29&gt;F29,2,IF(D29&lt;F29,0,1)))</f>
        <v>0</v>
      </c>
      <c r="E30" s="7" t="s">
        <v>28</v>
      </c>
      <c r="F30" s="14">
        <f>IF(F29="","",IF(F29&gt;D29,2,IF(F29&lt;D29,0,1)))</f>
        <v>2</v>
      </c>
      <c r="G30" s="13">
        <f>IF(G29="","",IF(G29&gt;I29,2,IF(G29&lt;I29,0,1)))</f>
        <v>2</v>
      </c>
      <c r="H30" s="7" t="s">
        <v>28</v>
      </c>
      <c r="I30" s="14">
        <f>IF(I29="","",IF(I29&gt;G29,2,IF(I29&lt;G29,0,1)))</f>
        <v>0</v>
      </c>
      <c r="J30" s="13">
        <f>IF(J29="","",IF(J29&gt;L29,2,IF(J29&lt;L29,0,1)))</f>
        <v>1</v>
      </c>
      <c r="K30" s="7" t="s">
        <v>28</v>
      </c>
      <c r="L30" s="14">
        <f>IF(L29="","",IF(L29&gt;J29,2,IF(L29&lt;J29,0,1)))</f>
        <v>1</v>
      </c>
      <c r="M30" s="94"/>
      <c r="N30" s="95"/>
      <c r="O30" s="96"/>
      <c r="P30" s="13">
        <f>IF(P29="","",IF(P29&gt;R29,2,IF(P29&lt;R29,0,1)))</f>
        <v>2</v>
      </c>
      <c r="Q30" s="7" t="s">
        <v>28</v>
      </c>
      <c r="R30" s="14">
        <f>IF(R29="","",IF(R29&gt;P29,2,IF(R29&lt;P29,0,1)))</f>
        <v>0</v>
      </c>
      <c r="S30" s="13">
        <f>IF(X30="","",SUM(D30,G30,J30,M30,P30))</f>
        <v>5</v>
      </c>
      <c r="T30" s="7" t="s">
        <v>28</v>
      </c>
      <c r="U30" s="14">
        <f>IF(X30="","",SUM(F30,I30,L30,O30,R30))</f>
        <v>3</v>
      </c>
      <c r="V30" s="15"/>
      <c r="W30" s="16">
        <f>+(S30-U30)+S29/U29+S30</f>
        <v>8.027972027972028</v>
      </c>
      <c r="X30" s="11" t="s">
        <v>29</v>
      </c>
    </row>
    <row r="31" spans="2:28" ht="15" customHeight="1">
      <c r="B31" s="46" t="str">
        <f>IF(Daten!E9="","",Daten!E9)</f>
        <v>2.W</v>
      </c>
      <c r="C31" s="27" t="str">
        <f>IF(Daten!F9="","",Daten!F9)</f>
        <v>SKG Ober Ramstadt</v>
      </c>
      <c r="D31" s="30">
        <f>IF(R23="","",R23)</f>
        <v>30</v>
      </c>
      <c r="E31" s="9" t="s">
        <v>27</v>
      </c>
      <c r="F31" s="31">
        <f>IF(P23="","",P23)</f>
        <v>46</v>
      </c>
      <c r="G31" s="30">
        <f>IF(R25="","",R25)</f>
        <v>33</v>
      </c>
      <c r="H31" s="9" t="s">
        <v>27</v>
      </c>
      <c r="I31" s="31">
        <f>IF(P25="","",P25)</f>
        <v>37</v>
      </c>
      <c r="J31" s="30">
        <f>IF(R27="","",R27)</f>
        <v>38</v>
      </c>
      <c r="K31" s="9" t="s">
        <v>27</v>
      </c>
      <c r="L31" s="31">
        <f>IF(P27="","",P27)</f>
        <v>38</v>
      </c>
      <c r="M31" s="30">
        <f>IF(R29="","",R29)</f>
        <v>36</v>
      </c>
      <c r="N31" s="9" t="s">
        <v>27</v>
      </c>
      <c r="O31" s="31">
        <f>IF(P29="","",P29)</f>
        <v>40</v>
      </c>
      <c r="P31" s="91"/>
      <c r="Q31" s="92"/>
      <c r="R31" s="93"/>
      <c r="S31" s="30">
        <f>IF(X32="","",SUM(D31,G31,J31,M31,P31))</f>
        <v>137</v>
      </c>
      <c r="T31" s="9" t="s">
        <v>27</v>
      </c>
      <c r="U31" s="31">
        <f>IF(X32="","",SUM(F31,I31,L31,O31,R31))</f>
        <v>161</v>
      </c>
      <c r="V31" s="6">
        <f>IF(X31="","",RANK(W32,($W$24,$W$26,$W$28,$W$30,$W$32),0))</f>
        <v>5</v>
      </c>
      <c r="X31" s="11" t="s">
        <v>29</v>
      </c>
      <c r="AA31">
        <v>5</v>
      </c>
      <c r="AB31" t="str">
        <f>IF(V31="","",IF($V$23=5,$C$23,IF($V$25=5,$C$25,IF($V$27=5,$C$27,IF($V$29=5,$C$29,IF($V$31=5,$C$31,0))))))</f>
        <v>SKG Ober Ramstadt</v>
      </c>
    </row>
    <row r="32" spans="2:24" ht="10.5" customHeight="1">
      <c r="B32" s="98"/>
      <c r="C32" s="204"/>
      <c r="D32" s="13">
        <f>IF(D31="","",IF(D31&gt;F31,2,IF(D31&lt;F31,0,1)))</f>
        <v>0</v>
      </c>
      <c r="E32" s="7" t="s">
        <v>28</v>
      </c>
      <c r="F32" s="14">
        <f>IF(F31="","",IF(F31&gt;D31,2,IF(F31&lt;D31,0,1)))</f>
        <v>2</v>
      </c>
      <c r="G32" s="13">
        <f>IF(G31="","",IF(G31&gt;I31,2,IF(G31&lt;I31,0,1)))</f>
        <v>0</v>
      </c>
      <c r="H32" s="7" t="s">
        <v>28</v>
      </c>
      <c r="I32" s="14">
        <f>IF(I31="","",IF(I31&gt;G31,2,IF(I31&lt;G31,0,1)))</f>
        <v>2</v>
      </c>
      <c r="J32" s="13">
        <f>IF(J31="","",IF(J31&gt;L31,2,IF(J31&lt;L31,0,1)))</f>
        <v>1</v>
      </c>
      <c r="K32" s="7" t="s">
        <v>28</v>
      </c>
      <c r="L32" s="14">
        <f>IF(L31="","",IF(L31&gt;J31,2,IF(L31&lt;J31,0,1)))</f>
        <v>1</v>
      </c>
      <c r="M32" s="13">
        <f>IF(M31="","",IF(M31&gt;O31,2,IF(M31&lt;O31,0,1)))</f>
        <v>0</v>
      </c>
      <c r="N32" s="7" t="s">
        <v>28</v>
      </c>
      <c r="O32" s="14">
        <f>IF(O31="","",IF(O31&gt;M31,2,IF(O31&lt;M31,0,1)))</f>
        <v>2</v>
      </c>
      <c r="P32" s="94"/>
      <c r="Q32" s="95"/>
      <c r="R32" s="96"/>
      <c r="S32" s="13">
        <f>IF(X32="","",SUM(D32,G32,J32,M32,P32))</f>
        <v>1</v>
      </c>
      <c r="T32" s="7" t="s">
        <v>28</v>
      </c>
      <c r="U32" s="14">
        <f>IF(X32="","",SUM(F32,I32,L32,O32,R32))</f>
        <v>7</v>
      </c>
      <c r="V32" s="15"/>
      <c r="W32" s="16">
        <f>+(S32-U32)+S31/U31+S32</f>
        <v>-4.149068322981367</v>
      </c>
      <c r="X32" s="11" t="s">
        <v>29</v>
      </c>
    </row>
    <row r="33" spans="2:24" ht="9.75" customHeight="1">
      <c r="B33" s="41"/>
      <c r="C33" s="41"/>
      <c r="D33" s="42"/>
      <c r="E33" s="9"/>
      <c r="F33" s="43"/>
      <c r="G33" s="42"/>
      <c r="H33" s="9"/>
      <c r="I33" s="43"/>
      <c r="J33" s="42"/>
      <c r="K33" s="9"/>
      <c r="L33" s="43"/>
      <c r="M33" s="42"/>
      <c r="N33" s="9"/>
      <c r="O33" s="43"/>
      <c r="P33" s="18"/>
      <c r="Q33" s="18"/>
      <c r="R33" s="18"/>
      <c r="S33" s="42"/>
      <c r="T33" s="9"/>
      <c r="U33" s="43"/>
      <c r="V33" s="5"/>
      <c r="W33" s="16"/>
      <c r="X33" s="11"/>
    </row>
    <row r="34" spans="2:24" ht="9.75" customHeight="1" outlineLevel="1">
      <c r="B34" s="103" t="s">
        <v>30</v>
      </c>
      <c r="C34" s="32" t="str">
        <f>+C23</f>
        <v>SSC Dodesheide</v>
      </c>
      <c r="D34" s="33"/>
      <c r="E34" s="142" t="s">
        <v>199</v>
      </c>
      <c r="F34" s="34"/>
      <c r="G34" s="35">
        <v>16</v>
      </c>
      <c r="H34" s="36" t="s">
        <v>27</v>
      </c>
      <c r="I34" s="37">
        <v>17</v>
      </c>
      <c r="J34" s="35"/>
      <c r="K34" s="36" t="s">
        <v>27</v>
      </c>
      <c r="L34" s="37"/>
      <c r="M34" s="35"/>
      <c r="N34" s="36" t="s">
        <v>27</v>
      </c>
      <c r="O34" s="37"/>
      <c r="P34" s="38"/>
      <c r="Q34" s="36" t="s">
        <v>27</v>
      </c>
      <c r="R34" s="110"/>
      <c r="S34" s="22"/>
      <c r="T34" s="23"/>
      <c r="U34" s="24"/>
      <c r="V34" s="25"/>
      <c r="W34" s="16"/>
      <c r="X34" s="11"/>
    </row>
    <row r="35" spans="2:24" ht="9.75" customHeight="1" outlineLevel="1">
      <c r="B35" s="21"/>
      <c r="C35" s="32" t="str">
        <f>+C25</f>
        <v>VfK 1901 Berlin</v>
      </c>
      <c r="D35" s="35">
        <f>IF(I34="","",I34)</f>
        <v>17</v>
      </c>
      <c r="E35" s="36" t="s">
        <v>27</v>
      </c>
      <c r="F35" s="37">
        <f>IF(G34="","",G34)</f>
        <v>16</v>
      </c>
      <c r="G35" s="33"/>
      <c r="H35" s="142"/>
      <c r="I35" s="34"/>
      <c r="J35" s="35"/>
      <c r="K35" s="36" t="s">
        <v>27</v>
      </c>
      <c r="L35" s="37"/>
      <c r="M35" s="35"/>
      <c r="N35" s="36" t="s">
        <v>27</v>
      </c>
      <c r="O35" s="37"/>
      <c r="P35" s="38"/>
      <c r="Q35" s="36" t="s">
        <v>27</v>
      </c>
      <c r="R35" s="110"/>
      <c r="S35" s="22"/>
      <c r="T35" s="23"/>
      <c r="U35" s="24"/>
      <c r="V35" s="25"/>
      <c r="W35" s="16"/>
      <c r="X35" s="11"/>
    </row>
    <row r="36" spans="2:24" ht="9.75" customHeight="1" outlineLevel="1">
      <c r="B36" s="21"/>
      <c r="C36" s="32" t="str">
        <f>+C27</f>
        <v>SV Weiler</v>
      </c>
      <c r="D36" s="35">
        <f>IF(L34="","",L34)</f>
      </c>
      <c r="E36" s="36" t="s">
        <v>27</v>
      </c>
      <c r="F36" s="37">
        <f>IF(J34="","",J34)</f>
      </c>
      <c r="G36" s="35">
        <f>IF(L35="","",L35)</f>
      </c>
      <c r="H36" s="36" t="s">
        <v>27</v>
      </c>
      <c r="I36" s="37">
        <f>IF(J35="","",J35)</f>
      </c>
      <c r="J36" s="33"/>
      <c r="K36" s="142"/>
      <c r="L36" s="34"/>
      <c r="M36" s="35"/>
      <c r="N36" s="36" t="s">
        <v>27</v>
      </c>
      <c r="O36" s="37"/>
      <c r="P36" s="38"/>
      <c r="Q36" s="36" t="s">
        <v>27</v>
      </c>
      <c r="R36" s="110"/>
      <c r="S36" s="22"/>
      <c r="T36" s="23"/>
      <c r="U36" s="24"/>
      <c r="V36" s="25"/>
      <c r="W36" s="16"/>
      <c r="X36" s="11"/>
    </row>
    <row r="37" spans="2:24" ht="9.75" customHeight="1" outlineLevel="1">
      <c r="B37" s="21"/>
      <c r="C37" s="32" t="str">
        <f>+C29</f>
        <v>SV Prag Stuttgart</v>
      </c>
      <c r="D37" s="35">
        <f>IF(O34="","",O34)</f>
      </c>
      <c r="E37" s="36" t="s">
        <v>27</v>
      </c>
      <c r="F37" s="37">
        <f>IF(M34="","",M34)</f>
      </c>
      <c r="G37" s="35">
        <f>IF(O35="","",O35)</f>
      </c>
      <c r="H37" s="36" t="s">
        <v>27</v>
      </c>
      <c r="I37" s="37">
        <f>IF(M35="","",M35)</f>
      </c>
      <c r="J37" s="35">
        <f>IF(O36="","",O36)</f>
      </c>
      <c r="K37" s="36" t="s">
        <v>27</v>
      </c>
      <c r="L37" s="37">
        <f>IF(M36="","",M36)</f>
      </c>
      <c r="M37" s="33"/>
      <c r="N37" s="142"/>
      <c r="O37" s="34"/>
      <c r="P37" s="38"/>
      <c r="Q37" s="36" t="s">
        <v>27</v>
      </c>
      <c r="R37" s="110"/>
      <c r="S37" s="22"/>
      <c r="T37" s="23"/>
      <c r="U37" s="24"/>
      <c r="V37" s="25"/>
      <c r="W37" s="16"/>
      <c r="X37" s="11"/>
    </row>
    <row r="38" spans="3:18" ht="9.75" customHeight="1" outlineLevel="1">
      <c r="C38" s="32" t="str">
        <f>+C31</f>
        <v>SKG Ober Ramstadt</v>
      </c>
      <c r="D38" s="35">
        <f>IF(R34="","",R34)</f>
      </c>
      <c r="E38" s="36" t="s">
        <v>27</v>
      </c>
      <c r="F38" s="37">
        <f>IF(P34="","",P34)</f>
      </c>
      <c r="G38" s="35">
        <f>IF(R35="","",R35)</f>
      </c>
      <c r="H38" s="36" t="s">
        <v>27</v>
      </c>
      <c r="I38" s="37">
        <f>IF(P35="","",P35)</f>
      </c>
      <c r="J38" s="35">
        <f>IF(R36="","",R36)</f>
      </c>
      <c r="K38" s="36" t="s">
        <v>27</v>
      </c>
      <c r="L38" s="37">
        <f>IF(P36="","",P36)</f>
      </c>
      <c r="M38" s="35">
        <f>IF(R37="","",R37)</f>
      </c>
      <c r="N38" s="36" t="s">
        <v>27</v>
      </c>
      <c r="O38" s="37">
        <f>IF(P37="","",P37)</f>
      </c>
      <c r="P38" s="33"/>
      <c r="Q38" s="142"/>
      <c r="R38" s="34"/>
    </row>
    <row r="39" ht="18" customHeight="1">
      <c r="B39" s="58" t="s">
        <v>57</v>
      </c>
    </row>
    <row r="40" spans="1:15" ht="17.25" customHeight="1">
      <c r="A40" t="s">
        <v>42</v>
      </c>
      <c r="B40" s="66" t="str">
        <f>"4."&amp;+$C$4&amp;"  5."&amp;+$C$22</f>
        <v>4.Gruppe C  5.Gruppe F</v>
      </c>
      <c r="C40" s="104" t="str">
        <f>IF(M40="","",$AB$11&amp;" : "&amp;$AB$31)</f>
        <v>SV Werder Bremen : SKG Ober Ramstadt</v>
      </c>
      <c r="D40" s="64"/>
      <c r="E40" s="64"/>
      <c r="F40" s="64"/>
      <c r="G40" s="64"/>
      <c r="H40" s="65"/>
      <c r="I40" s="69"/>
      <c r="J40" s="80">
        <f>IF('Samstag Haupt'!Q112="","",'Samstag Haupt'!Q112)</f>
        <v>37</v>
      </c>
      <c r="K40" s="67" t="s">
        <v>27</v>
      </c>
      <c r="L40" s="78">
        <f>IF('Samstag Haupt'!S112="","",'Samstag Haupt'!S112)</f>
        <v>41</v>
      </c>
      <c r="M40" s="82" t="s">
        <v>29</v>
      </c>
      <c r="N40" s="68"/>
      <c r="O40" s="56"/>
    </row>
    <row r="41" spans="1:13" ht="4.5" customHeight="1">
      <c r="A41" s="25"/>
      <c r="B41" s="62"/>
      <c r="C41" s="135"/>
      <c r="D41" s="44"/>
      <c r="E41" s="45"/>
      <c r="F41" s="44"/>
      <c r="G41" s="44"/>
      <c r="H41" s="44"/>
      <c r="I41" s="44"/>
      <c r="J41" s="81"/>
      <c r="L41" s="79"/>
      <c r="M41" s="83"/>
    </row>
    <row r="42" spans="1:14" ht="17.25" customHeight="1">
      <c r="A42" t="s">
        <v>43</v>
      </c>
      <c r="B42" s="66" t="str">
        <f>"4."&amp;+$C$22&amp;"  5."&amp;+$C$4</f>
        <v>4.Gruppe F  5.Gruppe C</v>
      </c>
      <c r="C42" s="104" t="str">
        <f>IF(M42="","",$AB$29&amp;" : "&amp;$AB$13)</f>
        <v>SSC Dodesheide : TB Hückeswagen</v>
      </c>
      <c r="D42" s="63"/>
      <c r="E42" s="63"/>
      <c r="F42" s="63"/>
      <c r="G42" s="63"/>
      <c r="H42" s="63"/>
      <c r="I42" s="20"/>
      <c r="J42" s="80">
        <f>IF('Samstag Haupt'!Q113="","",'Samstag Haupt'!Q113)</f>
        <v>58</v>
      </c>
      <c r="K42" s="67" t="s">
        <v>27</v>
      </c>
      <c r="L42" s="78">
        <f>IF('Samstag Haupt'!S113="","",'Samstag Haupt'!S113)</f>
        <v>53</v>
      </c>
      <c r="M42" s="82" t="s">
        <v>29</v>
      </c>
      <c r="N42" s="68"/>
    </row>
    <row r="43" spans="2:22" ht="18" customHeight="1">
      <c r="B43" s="59" t="s">
        <v>58</v>
      </c>
      <c r="C43" s="136"/>
      <c r="D43" s="44"/>
      <c r="E43" s="45"/>
      <c r="F43" s="44"/>
      <c r="G43" s="44"/>
      <c r="H43" s="44"/>
      <c r="I43" s="44"/>
      <c r="J43" s="81"/>
      <c r="L43" s="79"/>
      <c r="M43" s="83"/>
      <c r="P43" s="25"/>
      <c r="Q43" s="25"/>
      <c r="R43" s="25"/>
      <c r="S43" s="25"/>
      <c r="T43" s="25"/>
      <c r="U43" s="25"/>
      <c r="V43" s="25"/>
    </row>
    <row r="44" spans="2:22" ht="17.25" customHeight="1">
      <c r="B44" s="73" t="str">
        <f>"V."&amp;A40&amp;"/"&amp;A42&amp;"      9./10. Pl."</f>
        <v>V.a/b      9./10. Pl.</v>
      </c>
      <c r="C44" s="137" t="str">
        <f>IF(M44="","",'Samstag Haupt'!H116&amp;" : "&amp;'Samstag Haupt'!L116)</f>
        <v>SV Werder Bremen : TB Hückeswagen</v>
      </c>
      <c r="D44" s="63"/>
      <c r="E44" s="63"/>
      <c r="F44" s="63"/>
      <c r="G44" s="63"/>
      <c r="H44" s="63"/>
      <c r="I44" s="20"/>
      <c r="J44" s="80">
        <f>IF('Samstag Haupt'!Q116="","",'Samstag Haupt'!Q116)</f>
        <v>39</v>
      </c>
      <c r="K44" s="67" t="s">
        <v>27</v>
      </c>
      <c r="L44" s="78">
        <f>IF('Samstag Haupt'!S116="","",'Samstag Haupt'!S116)</f>
        <v>44</v>
      </c>
      <c r="M44" s="83" t="s">
        <v>29</v>
      </c>
      <c r="O44" s="40" t="s">
        <v>31</v>
      </c>
      <c r="P44" s="72"/>
      <c r="Q44" s="72"/>
      <c r="R44" s="72"/>
      <c r="S44" s="72"/>
      <c r="T44" s="72"/>
      <c r="U44" s="72"/>
      <c r="V44" s="72"/>
    </row>
    <row r="45" spans="2:22" ht="4.5" customHeight="1">
      <c r="B45" s="53"/>
      <c r="C45" s="136"/>
      <c r="D45" s="44"/>
      <c r="E45" s="44"/>
      <c r="F45" s="44"/>
      <c r="G45" s="44"/>
      <c r="H45" s="45"/>
      <c r="I45" s="44"/>
      <c r="J45" s="81"/>
      <c r="L45" s="79"/>
      <c r="M45" s="83"/>
      <c r="P45" s="25"/>
      <c r="Q45" s="25"/>
      <c r="R45" s="25"/>
      <c r="S45" s="25"/>
      <c r="T45" s="25"/>
      <c r="U45" s="25"/>
      <c r="V45" s="25"/>
    </row>
    <row r="46" spans="2:22" ht="17.25" customHeight="1">
      <c r="B46" s="73" t="str">
        <f>"S."&amp;A40&amp;"/"&amp;A42&amp;"      7./8. Pl."</f>
        <v>S.a/b      7./8. Pl.</v>
      </c>
      <c r="C46" s="137" t="str">
        <f>IF(M46="","",'Samstag Haupt'!H117&amp;" : "&amp;'Samstag Haupt'!L117)</f>
        <v>SKG Ober Ramstadt : SSC Dodesheide</v>
      </c>
      <c r="D46" s="64"/>
      <c r="E46" s="65"/>
      <c r="F46" s="64"/>
      <c r="G46" s="64"/>
      <c r="H46" s="64"/>
      <c r="I46" s="69"/>
      <c r="J46" s="80">
        <f>IF('Samstag Haupt'!Q117="","",'Samstag Haupt'!Q117)</f>
        <v>29</v>
      </c>
      <c r="K46" s="67" t="s">
        <v>27</v>
      </c>
      <c r="L46" s="78">
        <f>IF('Samstag Haupt'!S117="","",'Samstag Haupt'!S117)</f>
        <v>38</v>
      </c>
      <c r="M46" s="83" t="s">
        <v>29</v>
      </c>
      <c r="O46" s="131">
        <v>1</v>
      </c>
      <c r="P46" s="132" t="str">
        <f>" "&amp;IF($J$60="","",IF(Sonntag!Q64&gt;Sonntag!S64,Sonntag!H64,Sonntag!L64))</f>
        <v> TV FA Altenbochum</v>
      </c>
      <c r="Q46" s="132"/>
      <c r="R46" s="132"/>
      <c r="S46" s="132"/>
      <c r="T46" s="132"/>
      <c r="U46" s="132"/>
      <c r="V46" s="133"/>
    </row>
    <row r="47" spans="2:22" ht="18" customHeight="1">
      <c r="B47" s="59" t="s">
        <v>32</v>
      </c>
      <c r="C47" s="136"/>
      <c r="D47" s="44"/>
      <c r="E47" s="44"/>
      <c r="F47" s="44"/>
      <c r="G47" s="44"/>
      <c r="H47" s="45"/>
      <c r="I47" s="44"/>
      <c r="J47" s="81"/>
      <c r="L47" s="79"/>
      <c r="M47" s="83"/>
      <c r="O47" s="84">
        <v>2</v>
      </c>
      <c r="P47" s="102" t="str">
        <f>" "&amp;IF($J$60="","",IF(Sonntag!Q64&lt;Sonntag!S64,Sonntag!H64,Sonntag!L64))</f>
        <v> SF Ricklingen</v>
      </c>
      <c r="Q47" s="56"/>
      <c r="R47" s="56"/>
      <c r="S47" s="56"/>
      <c r="T47" s="56"/>
      <c r="U47" s="56"/>
      <c r="V47" s="74"/>
    </row>
    <row r="48" spans="1:22" ht="17.25" customHeight="1">
      <c r="A48" t="s">
        <v>33</v>
      </c>
      <c r="B48" s="66" t="str">
        <f>"2."&amp;+$C$4&amp;"  3."&amp;+$C$22</f>
        <v>2.Gruppe C  3.Gruppe F</v>
      </c>
      <c r="C48" s="104" t="str">
        <f>IF(M48="","",$AB$7&amp;" : "&amp;$AB$27)</f>
        <v>TV Kleefeld : VfK 1901 Berlin</v>
      </c>
      <c r="D48" s="64"/>
      <c r="E48" s="65"/>
      <c r="F48" s="64"/>
      <c r="G48" s="64"/>
      <c r="H48" s="64"/>
      <c r="I48" s="69"/>
      <c r="J48" s="80">
        <f>IF(Sonntag!Q32="","",Sonntag!Q32)</f>
        <v>49</v>
      </c>
      <c r="K48" s="67" t="s">
        <v>27</v>
      </c>
      <c r="L48" s="78">
        <f>IF(Sonntag!S32="","",Sonntag!S32)</f>
        <v>48</v>
      </c>
      <c r="M48" s="83" t="s">
        <v>29</v>
      </c>
      <c r="O48" s="84">
        <v>3</v>
      </c>
      <c r="P48" s="86" t="str">
        <f>" "&amp;IF($J$58="","",IF(Sonntag!Q55&gt;Sonntag!S55,Sonntag!H55,Sonntag!L55))</f>
        <v> TV Wertheim</v>
      </c>
      <c r="Q48" s="56"/>
      <c r="R48" s="56"/>
      <c r="S48" s="56"/>
      <c r="T48" s="56"/>
      <c r="U48" s="56"/>
      <c r="V48" s="74"/>
    </row>
    <row r="49" spans="2:22" ht="4.5" customHeight="1">
      <c r="B49" s="44"/>
      <c r="C49" s="136"/>
      <c r="D49" s="44"/>
      <c r="E49" s="44"/>
      <c r="F49" s="44"/>
      <c r="G49" s="44"/>
      <c r="H49" s="44"/>
      <c r="I49" s="44"/>
      <c r="J49" s="81"/>
      <c r="L49" s="79"/>
      <c r="M49" s="83"/>
      <c r="O49" s="84"/>
      <c r="P49" s="56"/>
      <c r="Q49" s="56"/>
      <c r="R49" s="56"/>
      <c r="S49" s="56"/>
      <c r="T49" s="56"/>
      <c r="U49" s="56"/>
      <c r="V49" s="74"/>
    </row>
    <row r="50" spans="1:22" ht="17.25" customHeight="1">
      <c r="A50" t="s">
        <v>34</v>
      </c>
      <c r="B50" s="66" t="str">
        <f>"2."&amp;+$C$22&amp;"  3."&amp;+$C$4</f>
        <v>2.Gruppe F  3.Gruppe C</v>
      </c>
      <c r="C50" s="104" t="str">
        <f>IF(M50="","",$AB$25&amp;" : "&amp;$AB$9)</f>
        <v>SV Prag Stuttgart : TV Kierdorf</v>
      </c>
      <c r="D50" s="64"/>
      <c r="E50" s="64"/>
      <c r="F50" s="64"/>
      <c r="G50" s="64"/>
      <c r="H50" s="65"/>
      <c r="I50" s="69"/>
      <c r="J50" s="80">
        <f>IF(Sonntag!Q33="","",Sonntag!Q33)</f>
        <v>31</v>
      </c>
      <c r="K50" s="67" t="s">
        <v>27</v>
      </c>
      <c r="L50" s="78">
        <f>IF(Sonntag!S33="","",Sonntag!S33)</f>
        <v>29</v>
      </c>
      <c r="M50" s="83" t="s">
        <v>29</v>
      </c>
      <c r="O50" s="84">
        <v>4</v>
      </c>
      <c r="P50" s="86" t="str">
        <f>" "&amp;IF($J$58="","",IF(Sonntag!Q55&lt;Sonntag!S55,Sonntag!H55,Sonntag!L55))</f>
        <v> TV Berkenbaum</v>
      </c>
      <c r="Q50" s="56"/>
      <c r="R50" s="56"/>
      <c r="S50" s="56"/>
      <c r="T50" s="56"/>
      <c r="U50" s="56"/>
      <c r="V50" s="74"/>
    </row>
    <row r="51" spans="2:22" ht="18" customHeight="1">
      <c r="B51" s="59" t="s">
        <v>35</v>
      </c>
      <c r="C51" s="136"/>
      <c r="D51" s="44"/>
      <c r="E51" s="44"/>
      <c r="F51" s="44"/>
      <c r="G51" s="44"/>
      <c r="H51" s="44"/>
      <c r="I51" s="44"/>
      <c r="J51" s="81"/>
      <c r="L51" s="79"/>
      <c r="M51" s="83"/>
      <c r="O51" s="84">
        <v>5</v>
      </c>
      <c r="P51" s="86" t="str">
        <f>" "&amp;IF($J$56="","",IF(Sonntag!Q49&gt;Sonntag!S49,Sonntag!H49,Sonntag!L49))</f>
        <v> TSV Burgdorf</v>
      </c>
      <c r="Q51" s="56"/>
      <c r="R51" s="56"/>
      <c r="S51" s="56"/>
      <c r="T51" s="56"/>
      <c r="U51" s="56"/>
      <c r="V51" s="74"/>
    </row>
    <row r="52" spans="1:22" ht="17.25" customHeight="1">
      <c r="A52" t="s">
        <v>36</v>
      </c>
      <c r="B52" s="66" t="str">
        <f>"1."&amp;+$C$4&amp;"  Sieger "&amp;+$A$50</f>
        <v>1.Gruppe C  Sieger d</v>
      </c>
      <c r="C52" s="137" t="str">
        <f>IF(M52="","",$AB$5&amp;" : "&amp;Sonntag!L40)</f>
        <v>TSV Krumbach : TV FA Altenbochum</v>
      </c>
      <c r="D52" s="64"/>
      <c r="E52" s="64"/>
      <c r="F52" s="64"/>
      <c r="G52" s="64"/>
      <c r="H52" s="65"/>
      <c r="I52" s="69"/>
      <c r="J52" s="80">
        <f>IF(Sonntag!Q44="","",Sonntag!Q44)</f>
        <v>38</v>
      </c>
      <c r="K52" s="67" t="s">
        <v>27</v>
      </c>
      <c r="L52" s="78">
        <f>IF(Sonntag!S44="","",Sonntag!S44)</f>
        <v>32</v>
      </c>
      <c r="M52" s="83" t="s">
        <v>29</v>
      </c>
      <c r="O52" s="84">
        <v>6</v>
      </c>
      <c r="P52" s="86" t="str">
        <f>" "&amp;IF($J$56="","",IF(Sonntag!Q49&lt;Sonntag!S49,Sonntag!H49,Sonntag!L49))</f>
        <v> TV Grohn</v>
      </c>
      <c r="Q52" s="56"/>
      <c r="R52" s="56"/>
      <c r="S52" s="56"/>
      <c r="T52" s="56"/>
      <c r="U52" s="56"/>
      <c r="V52" s="74"/>
    </row>
    <row r="53" spans="2:22" ht="4.5" customHeight="1">
      <c r="B53" s="45"/>
      <c r="C53" s="136"/>
      <c r="D53" s="44"/>
      <c r="E53" s="45"/>
      <c r="F53" s="44"/>
      <c r="G53" s="44"/>
      <c r="H53" s="44"/>
      <c r="I53" s="44"/>
      <c r="J53" s="81"/>
      <c r="L53" s="79"/>
      <c r="M53" s="83"/>
      <c r="O53" s="84"/>
      <c r="P53" s="56"/>
      <c r="Q53" s="56"/>
      <c r="R53" s="56"/>
      <c r="S53" s="56"/>
      <c r="T53" s="56"/>
      <c r="U53" s="56"/>
      <c r="V53" s="74"/>
    </row>
    <row r="54" spans="1:22" ht="17.25" customHeight="1">
      <c r="A54" t="s">
        <v>37</v>
      </c>
      <c r="B54" s="66" t="str">
        <f>"1."&amp;+$C$22&amp;"  Sieger "&amp;+$A$48</f>
        <v>1.Gruppe F  Sieger c</v>
      </c>
      <c r="C54" s="137" t="str">
        <f>IF(M54="","",$AB$23&amp;" : "&amp;Sonntag!L41)</f>
        <v>SV Weiler : TV Wertheim</v>
      </c>
      <c r="D54" s="64"/>
      <c r="E54" s="64"/>
      <c r="F54" s="64"/>
      <c r="G54" s="64"/>
      <c r="H54" s="64"/>
      <c r="I54" s="69"/>
      <c r="J54" s="80">
        <f>IF(Sonntag!Q45="","",Sonntag!Q45)</f>
        <v>35</v>
      </c>
      <c r="K54" s="67" t="s">
        <v>27</v>
      </c>
      <c r="L54" s="78">
        <f>IF(Sonntag!S45="","",Sonntag!S45)</f>
        <v>38</v>
      </c>
      <c r="M54" s="83" t="s">
        <v>29</v>
      </c>
      <c r="O54" s="84">
        <v>7</v>
      </c>
      <c r="P54" s="86" t="str">
        <f>" "&amp;IF($J$46="","",IF('Samstag Haupt'!Q117&gt;'Samstag Haupt'!S117,'Samstag Haupt'!H117,'Samstag Haupt'!L117))</f>
        <v> SSC Dodesheide</v>
      </c>
      <c r="Q54" s="56"/>
      <c r="R54" s="56"/>
      <c r="S54" s="56"/>
      <c r="T54" s="56"/>
      <c r="U54" s="56"/>
      <c r="V54" s="74"/>
    </row>
    <row r="55" spans="2:22" ht="18" customHeight="1">
      <c r="B55" s="60" t="s">
        <v>38</v>
      </c>
      <c r="C55" s="136"/>
      <c r="D55" s="44"/>
      <c r="E55" s="45"/>
      <c r="F55" s="44"/>
      <c r="G55" s="44"/>
      <c r="H55" s="44"/>
      <c r="I55" s="44"/>
      <c r="J55" s="81"/>
      <c r="L55" s="79"/>
      <c r="M55" s="83"/>
      <c r="O55" s="84">
        <v>8</v>
      </c>
      <c r="P55" s="86" t="str">
        <f>" "&amp;IF($J$46="","",IF('Samstag Haupt'!Q117&lt;'Samstag Haupt'!S117,'Samstag Haupt'!H117,'Samstag Haupt'!L117))</f>
        <v> SKG Ober Ramstadt</v>
      </c>
      <c r="Q55" s="56"/>
      <c r="R55" s="56"/>
      <c r="S55" s="56"/>
      <c r="T55" s="56"/>
      <c r="U55" s="56"/>
      <c r="V55" s="74"/>
    </row>
    <row r="56" spans="2:22" ht="17.25" customHeight="1">
      <c r="B56" s="73" t="str">
        <f>"V."&amp;A48&amp;"/"&amp;A50&amp;"         5./6. Pl."</f>
        <v>V.c/d         5./6. Pl.</v>
      </c>
      <c r="C56" s="137" t="str">
        <f>IF(M56="","",Sonntag!H49&amp;" : "&amp;Sonntag!L49)</f>
        <v>TV Grohn : TSV Burgdorf</v>
      </c>
      <c r="D56" s="64"/>
      <c r="E56" s="64"/>
      <c r="F56" s="64"/>
      <c r="G56" s="64"/>
      <c r="H56" s="64"/>
      <c r="I56" s="69"/>
      <c r="J56" s="80">
        <f>IF(Sonntag!Q51="","",Sonntag!Q51)</f>
        <v>28</v>
      </c>
      <c r="K56" s="67" t="s">
        <v>27</v>
      </c>
      <c r="L56" s="78">
        <f>IF(Sonntag!S51="","",Sonntag!S51)</f>
        <v>33</v>
      </c>
      <c r="M56" s="83" t="s">
        <v>29</v>
      </c>
      <c r="O56" s="84">
        <v>9</v>
      </c>
      <c r="P56" s="86" t="str">
        <f>" "&amp;IF($J$44="","",IF('Samstag Haupt'!Q116&gt;'Samstag Haupt'!S116,'Samstag Haupt'!H116,'Samstag Haupt'!L116))</f>
        <v> TB Hückeswagen</v>
      </c>
      <c r="Q56" s="56"/>
      <c r="R56" s="56"/>
      <c r="S56" s="56"/>
      <c r="T56" s="56"/>
      <c r="U56" s="56"/>
      <c r="V56" s="74"/>
    </row>
    <row r="57" spans="2:22" ht="4.5" customHeight="1">
      <c r="B57" s="44"/>
      <c r="C57" s="136"/>
      <c r="D57" s="44"/>
      <c r="E57" s="44"/>
      <c r="F57" s="44"/>
      <c r="G57" s="44"/>
      <c r="H57" s="45"/>
      <c r="I57" s="44"/>
      <c r="J57" s="81"/>
      <c r="L57" s="79"/>
      <c r="M57" s="83"/>
      <c r="O57" s="84"/>
      <c r="P57" s="56"/>
      <c r="Q57" s="56"/>
      <c r="R57" s="56"/>
      <c r="S57" s="56"/>
      <c r="T57" s="56"/>
      <c r="U57" s="56"/>
      <c r="V57" s="74"/>
    </row>
    <row r="58" spans="2:22" ht="17.25" customHeight="1">
      <c r="B58" s="73" t="str">
        <f>"V."&amp;A52&amp;"/"&amp;A54&amp;"         3./4. Pl."</f>
        <v>V.e/f         3./4. Pl.</v>
      </c>
      <c r="C58" s="137" t="str">
        <f>IF(M58="","",Sonntag!H55&amp;" : "&amp;Sonntag!L55)</f>
        <v>TV Berkenbaum : TV Wertheim</v>
      </c>
      <c r="D58" s="64"/>
      <c r="E58" s="65"/>
      <c r="F58" s="64"/>
      <c r="G58" s="64"/>
      <c r="H58" s="64"/>
      <c r="I58" s="69"/>
      <c r="J58" s="80">
        <f>IF(Sonntag!Q57="","",Sonntag!Q57)</f>
        <v>37</v>
      </c>
      <c r="K58" s="67" t="s">
        <v>27</v>
      </c>
      <c r="L58" s="78">
        <f>IF(Sonntag!S57="","",Sonntag!S57)</f>
        <v>34</v>
      </c>
      <c r="M58" s="83" t="s">
        <v>29</v>
      </c>
      <c r="O58" s="85">
        <v>10</v>
      </c>
      <c r="P58" s="87" t="str">
        <f>" "&amp;IF($J$44="","",IF('Samstag Haupt'!Q116&lt;'Samstag Haupt'!S116,'Samstag Haupt'!H116,'Samstag Haupt'!L116))</f>
        <v> SV Werder Bremen</v>
      </c>
      <c r="Q58" s="75"/>
      <c r="R58" s="75"/>
      <c r="S58" s="75"/>
      <c r="T58" s="75"/>
      <c r="U58" s="75"/>
      <c r="V58" s="76"/>
    </row>
    <row r="59" spans="2:13" ht="18" customHeight="1">
      <c r="B59" s="70" t="s">
        <v>39</v>
      </c>
      <c r="C59" s="135"/>
      <c r="D59" s="44"/>
      <c r="E59" s="44"/>
      <c r="F59" s="44"/>
      <c r="G59" s="25"/>
      <c r="H59" s="71"/>
      <c r="I59" s="25"/>
      <c r="J59" s="81"/>
      <c r="L59" s="79"/>
      <c r="M59" s="83"/>
    </row>
    <row r="60" spans="2:13" ht="17.25" customHeight="1">
      <c r="B60" s="73" t="str">
        <f>"S."&amp;A52&amp;"/"&amp;A54&amp;"         1./2. Pl."</f>
        <v>S.e/f         1./2. Pl.</v>
      </c>
      <c r="C60" s="137" t="str">
        <f>IF(M60="","",Sonntag!H64&amp;" : "&amp;Sonntag!L64)</f>
        <v>TV FA Altenbochum : SF Ricklingen</v>
      </c>
      <c r="D60" s="63"/>
      <c r="E60" s="77"/>
      <c r="F60" s="63"/>
      <c r="G60" s="64"/>
      <c r="H60" s="64"/>
      <c r="I60" s="69"/>
      <c r="J60" s="80">
        <f>IF(Sonntag!Q68="","",Sonntag!Q68)</f>
        <v>41</v>
      </c>
      <c r="K60" s="67" t="s">
        <v>27</v>
      </c>
      <c r="L60" s="78">
        <f>IF(Sonntag!S68="","",Sonntag!S68)</f>
        <v>34</v>
      </c>
      <c r="M60" s="83" t="s">
        <v>29</v>
      </c>
    </row>
  </sheetData>
  <printOptions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&amp;R&amp;6&amp;F;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0"/>
  <sheetViews>
    <sheetView showGridLines="0" workbookViewId="0" topLeftCell="A1">
      <selection activeCell="B2" sqref="B2:V38"/>
    </sheetView>
  </sheetViews>
  <sheetFormatPr defaultColWidth="11.421875" defaultRowHeight="12.75" outlineLevelRow="1" outlineLevelCol="1"/>
  <cols>
    <col min="1" max="1" width="2.00390625" style="0" customWidth="1"/>
    <col min="2" max="2" width="6.8515625" style="0" customWidth="1"/>
    <col min="3" max="3" width="24.7109375" style="0" customWidth="1"/>
    <col min="4" max="4" width="4.00390625" style="0" customWidth="1"/>
    <col min="5" max="5" width="1.7109375" style="0" customWidth="1"/>
    <col min="6" max="7" width="4.00390625" style="0" customWidth="1"/>
    <col min="8" max="8" width="1.7109375" style="0" customWidth="1"/>
    <col min="9" max="10" width="4.00390625" style="0" customWidth="1"/>
    <col min="11" max="11" width="1.7109375" style="0" customWidth="1"/>
    <col min="12" max="13" width="4.00390625" style="0" customWidth="1"/>
    <col min="14" max="14" width="1.7109375" style="0" customWidth="1"/>
    <col min="15" max="16" width="4.00390625" style="0" customWidth="1"/>
    <col min="17" max="17" width="1.7109375" style="0" customWidth="1"/>
    <col min="18" max="19" width="4.00390625" style="0" customWidth="1"/>
    <col min="20" max="20" width="1.7109375" style="0" customWidth="1"/>
    <col min="21" max="21" width="4.00390625" style="0" customWidth="1"/>
    <col min="22" max="22" width="4.7109375" style="0" customWidth="1"/>
    <col min="23" max="23" width="6.57421875" style="0" hidden="1" customWidth="1" outlineLevel="1"/>
    <col min="24" max="24" width="4.00390625" style="0" customWidth="1" collapsed="1"/>
    <col min="25" max="25" width="4.8515625" style="0" customWidth="1"/>
    <col min="26" max="26" width="1.7109375" style="0" customWidth="1"/>
    <col min="27" max="28" width="4.00390625" style="0" customWidth="1"/>
    <col min="29" max="29" width="1.7109375" style="0" customWidth="1"/>
    <col min="30" max="30" width="4.00390625" style="0" customWidth="1"/>
  </cols>
  <sheetData>
    <row r="1" spans="1:22" ht="24.75" customHeight="1">
      <c r="A1" s="88"/>
      <c r="B1" s="89" t="str">
        <f>Daten!A1&amp;" "&amp;Daten!B1&amp;" "&amp;Daten!L1</f>
        <v>43. Deutsche Prellball Meisterschaften der Seniorinnen und Senioren 2006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22" ht="21.75" customHeight="1">
      <c r="B2" s="125" t="s">
        <v>40</v>
      </c>
      <c r="C2" s="126"/>
      <c r="D2" s="57"/>
      <c r="E2" s="54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25" t="str">
        <f>+Daten!C11</f>
        <v>Männer 40</v>
      </c>
      <c r="S2" s="127"/>
      <c r="T2" s="127"/>
      <c r="U2" s="127"/>
      <c r="V2" s="126"/>
    </row>
    <row r="3" spans="2:22" ht="6.75" customHeight="1">
      <c r="B3" s="55"/>
      <c r="C3" s="56"/>
      <c r="D3" s="57"/>
      <c r="E3" s="54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6"/>
      <c r="T3" s="56"/>
      <c r="U3" s="56"/>
      <c r="V3" s="56"/>
    </row>
    <row r="4" spans="2:29" ht="12.75" customHeight="1">
      <c r="B4" s="128"/>
      <c r="C4" s="129" t="str">
        <f>+Daten!C12</f>
        <v>Gruppe E</v>
      </c>
      <c r="D4" s="47"/>
      <c r="E4" s="48" t="str">
        <f>+C5</f>
        <v>TSV Burgdorf</v>
      </c>
      <c r="F4" s="49"/>
      <c r="G4" s="19"/>
      <c r="H4" s="48" t="str">
        <f>+C7</f>
        <v>TSV Kirchdorf</v>
      </c>
      <c r="I4" s="20"/>
      <c r="J4" s="19"/>
      <c r="K4" s="48" t="str">
        <f>+C9</f>
        <v>PV Gundernhausen</v>
      </c>
      <c r="L4" s="20"/>
      <c r="M4" s="19"/>
      <c r="N4" s="48" t="str">
        <f>+C11</f>
        <v>TV Berkenbaum</v>
      </c>
      <c r="O4" s="20"/>
      <c r="P4" s="19"/>
      <c r="Q4" s="50" t="str">
        <f>+C13</f>
        <v>TV Wertheim</v>
      </c>
      <c r="R4" s="20"/>
      <c r="S4" s="19"/>
      <c r="T4" s="51" t="s">
        <v>24</v>
      </c>
      <c r="U4" s="20"/>
      <c r="V4" s="52" t="s">
        <v>25</v>
      </c>
      <c r="AC4" s="61"/>
    </row>
    <row r="5" spans="2:28" ht="15" customHeight="1">
      <c r="B5" s="99" t="str">
        <f>IF(Daten!B13="","",Daten!B13)</f>
        <v>NI</v>
      </c>
      <c r="C5" s="27" t="str">
        <f>IF(Daten!C13="","",Daten!C13)</f>
        <v>TSV Burgdorf</v>
      </c>
      <c r="D5" s="91"/>
      <c r="E5" s="92"/>
      <c r="F5" s="93"/>
      <c r="G5" s="30">
        <f>IF('Samstag Haupt'!$Q24="","",'Samstag Haupt'!$Q24)</f>
        <v>39</v>
      </c>
      <c r="H5" s="9" t="s">
        <v>27</v>
      </c>
      <c r="I5" s="31">
        <f>IF('Samstag Haupt'!$S24="","",'Samstag Haupt'!$S24)</f>
        <v>33</v>
      </c>
      <c r="J5" s="30">
        <f>IF('Samstag Haupt'!$Q44="","",'Samstag Haupt'!$Q44)</f>
        <v>34</v>
      </c>
      <c r="K5" s="9" t="s">
        <v>27</v>
      </c>
      <c r="L5" s="31">
        <f>IF('Samstag Haupt'!$S44="","",'Samstag Haupt'!$S44)</f>
        <v>34</v>
      </c>
      <c r="M5" s="30">
        <f>IF('Samstag Haupt'!$Q56="","",'Samstag Haupt'!$Q56)</f>
        <v>38</v>
      </c>
      <c r="N5" s="9" t="s">
        <v>27</v>
      </c>
      <c r="O5" s="31">
        <f>IF('Samstag Haupt'!$S56="","",'Samstag Haupt'!$S56)</f>
        <v>36</v>
      </c>
      <c r="P5" s="30">
        <f>IF('Samstag Haupt'!$Q32="","",'Samstag Haupt'!$Q32)</f>
        <v>32</v>
      </c>
      <c r="Q5" s="9" t="s">
        <v>27</v>
      </c>
      <c r="R5" s="31">
        <f>IF('Samstag Haupt'!$S32="","",'Samstag Haupt'!$S32)</f>
        <v>33</v>
      </c>
      <c r="S5" s="30">
        <f>IF(X6="","",SUM(D5,G5,J5,M5,P5))</f>
        <v>143</v>
      </c>
      <c r="T5" s="9" t="s">
        <v>27</v>
      </c>
      <c r="U5" s="31">
        <f>IF(X6="","",SUM(F5,I5,L5,O5,R5))</f>
        <v>136</v>
      </c>
      <c r="V5" s="26">
        <f>IF(X5="","",RANK(W6,($W$6,$W$8,$W$10,$W$12,$W$14),0))</f>
        <v>3</v>
      </c>
      <c r="X5" s="11" t="s">
        <v>29</v>
      </c>
      <c r="AA5">
        <v>1</v>
      </c>
      <c r="AB5" s="90" t="str">
        <f>IF(V5="","",IF($V$5=1,$C$5,IF($V$7=1,$C$7,IF($V$9=1,$C$9,IF($V$11=1,$C$11,IF($V$13=1,$C$13,0))))))</f>
        <v>TV Berkenbaum</v>
      </c>
    </row>
    <row r="6" spans="2:28" ht="10.5" customHeight="1">
      <c r="B6" s="100"/>
      <c r="C6" s="28"/>
      <c r="D6" s="94"/>
      <c r="E6" s="95"/>
      <c r="F6" s="96"/>
      <c r="G6" s="13">
        <f>IF(G5="","",IF(G5&gt;I5,2,IF(G5&lt;I5,0,1)))</f>
        <v>2</v>
      </c>
      <c r="H6" s="7" t="s">
        <v>28</v>
      </c>
      <c r="I6" s="14">
        <f>IF(I5="","",IF(I5&gt;G5,2,IF(I5&lt;G5,0,1)))</f>
        <v>0</v>
      </c>
      <c r="J6" s="13">
        <f>IF(J5="","",IF(J5&gt;L5,2,IF(J5&lt;L5,0,1)))</f>
        <v>1</v>
      </c>
      <c r="K6" s="7" t="s">
        <v>28</v>
      </c>
      <c r="L6" s="14">
        <f>IF(L5="","",IF(L5&gt;J5,2,IF(L5&lt;J5,0,1)))</f>
        <v>1</v>
      </c>
      <c r="M6" s="13">
        <f>IF(M5="","",IF(M5&gt;O5,2,IF(M5&lt;O5,0,1)))</f>
        <v>2</v>
      </c>
      <c r="N6" s="7" t="s">
        <v>28</v>
      </c>
      <c r="O6" s="14">
        <f>IF(O5="","",IF(O5&gt;M5,2,IF(O5&lt;M5,0,1)))</f>
        <v>0</v>
      </c>
      <c r="P6" s="13">
        <f>IF(P5="","",IF(P5&gt;R5,2,IF(P5&lt;R5,0,1)))</f>
        <v>0</v>
      </c>
      <c r="Q6" s="7" t="s">
        <v>28</v>
      </c>
      <c r="R6" s="14">
        <f>IF(R5="","",IF(R5&gt;P5,2,IF(R5&lt;P5,0,1)))</f>
        <v>2</v>
      </c>
      <c r="S6" s="13">
        <f>IF(X6="","",SUM(D6,G6,J6,M6,P6))</f>
        <v>5</v>
      </c>
      <c r="T6" s="7" t="s">
        <v>28</v>
      </c>
      <c r="U6" s="14">
        <f>IF(X6="","",SUM(F6,I6,L6,O6,R6))</f>
        <v>3</v>
      </c>
      <c r="V6" s="15"/>
      <c r="W6" s="16">
        <f>+(S6-U6)+S5/U5+S6</f>
        <v>8.051470588235293</v>
      </c>
      <c r="X6" s="11" t="s">
        <v>29</v>
      </c>
      <c r="AB6" s="90"/>
    </row>
    <row r="7" spans="2:28" ht="15" customHeight="1">
      <c r="B7" s="46" t="str">
        <f>IF(Daten!B14="","",Daten!B14)</f>
        <v>2.N</v>
      </c>
      <c r="C7" s="27" t="str">
        <f>IF(Daten!C14="","",Daten!C14)</f>
        <v>TSV Kirchdorf</v>
      </c>
      <c r="D7" s="30">
        <f>IF(I5="","",I5)</f>
        <v>33</v>
      </c>
      <c r="E7" s="9" t="s">
        <v>27</v>
      </c>
      <c r="F7" s="31">
        <f>IF(G5="","",G5)</f>
        <v>39</v>
      </c>
      <c r="G7" s="91"/>
      <c r="H7" s="92"/>
      <c r="I7" s="93"/>
      <c r="J7" s="30">
        <f>IF('Samstag Haupt'!$Q36="","",'Samstag Haupt'!$Q36)</f>
        <v>38</v>
      </c>
      <c r="K7" s="9" t="s">
        <v>27</v>
      </c>
      <c r="L7" s="31">
        <f>IF('Samstag Haupt'!$S36="","",'Samstag Haupt'!$S36)</f>
        <v>35</v>
      </c>
      <c r="M7" s="30">
        <f>IF('Samstag Haupt'!$Q48="","",'Samstag Haupt'!$Q48)</f>
        <v>33</v>
      </c>
      <c r="N7" s="9" t="s">
        <v>27</v>
      </c>
      <c r="O7" s="31">
        <f>IF('Samstag Haupt'!$S48="","",'Samstag Haupt'!$S48)</f>
        <v>34</v>
      </c>
      <c r="P7" s="30">
        <f>IF('Samstag Haupt'!$Q60="","",'Samstag Haupt'!$Q60)</f>
        <v>32</v>
      </c>
      <c r="Q7" s="9" t="s">
        <v>27</v>
      </c>
      <c r="R7" s="31">
        <f>IF('Samstag Haupt'!$S60="","",'Samstag Haupt'!$S60)</f>
        <v>41</v>
      </c>
      <c r="S7" s="8">
        <f>IF(X8="","",SUM(D7,G7,J7,M7,P7))</f>
        <v>136</v>
      </c>
      <c r="T7" s="9" t="s">
        <v>27</v>
      </c>
      <c r="U7" s="10">
        <f>IF(X8="","",SUM(F7,I7,L7,O7,R7))</f>
        <v>149</v>
      </c>
      <c r="V7" s="6">
        <f>IF(X7="","",RANK(W8,($W$6,$W$8,$W$10,$W$12,$W$14),0))</f>
        <v>4</v>
      </c>
      <c r="X7" s="11" t="s">
        <v>29</v>
      </c>
      <c r="AA7">
        <v>2</v>
      </c>
      <c r="AB7" s="90" t="str">
        <f>IF(V7="","",IF($V$5=2,$C$5,IF($V$7=2,$C$7,IF($V$9=2,$C$9,IF($V$11=2,$C$11,IF($V$13=2,$C$13,0))))))</f>
        <v>TV Wertheim</v>
      </c>
    </row>
    <row r="8" spans="2:28" ht="10.5" customHeight="1">
      <c r="B8" s="100"/>
      <c r="C8" s="28"/>
      <c r="D8" s="13">
        <f>IF(D7="","",IF(D7&gt;F7,2,IF(D7&lt;F7,0,1)))</f>
        <v>0</v>
      </c>
      <c r="E8" s="7" t="s">
        <v>28</v>
      </c>
      <c r="F8" s="14">
        <f>IF(F7="","",IF(F7&gt;D7,2,IF(F7&lt;D7,0,1)))</f>
        <v>2</v>
      </c>
      <c r="G8" s="94"/>
      <c r="H8" s="95"/>
      <c r="I8" s="96"/>
      <c r="J8" s="13">
        <f>IF(J7="","",IF(J7&gt;L7,2,IF(J7&lt;L7,0,1)))</f>
        <v>2</v>
      </c>
      <c r="K8" s="7" t="s">
        <v>28</v>
      </c>
      <c r="L8" s="14">
        <f>IF(L7="","",IF(L7&gt;J7,2,IF(L7&lt;J7,0,1)))</f>
        <v>0</v>
      </c>
      <c r="M8" s="13">
        <f>IF(M7="","",IF(M7&gt;O7,2,IF(M7&lt;O7,0,1)))</f>
        <v>0</v>
      </c>
      <c r="N8" s="7" t="s">
        <v>28</v>
      </c>
      <c r="O8" s="14">
        <f>IF(O7="","",IF(O7&gt;M7,2,IF(O7&lt;M7,0,1)))</f>
        <v>2</v>
      </c>
      <c r="P8" s="13">
        <f>IF(P7="","",IF(P7&gt;R7,2,IF(P7&lt;R7,0,1)))</f>
        <v>0</v>
      </c>
      <c r="Q8" s="7" t="s">
        <v>28</v>
      </c>
      <c r="R8" s="14">
        <f>IF(R7="","",IF(R7&gt;P7,2,IF(R7&lt;P7,0,1)))</f>
        <v>2</v>
      </c>
      <c r="S8" s="13">
        <f>IF(X8="","",SUM(D8,G8,J8,M8,P8))</f>
        <v>2</v>
      </c>
      <c r="T8" s="7" t="s">
        <v>28</v>
      </c>
      <c r="U8" s="14">
        <f>IF(X8="","",SUM(F8,I8,L8,O8,R8))</f>
        <v>6</v>
      </c>
      <c r="V8" s="15"/>
      <c r="W8" s="16">
        <f>+(S8-U8)+S7/U7+S8</f>
        <v>-1.087248322147651</v>
      </c>
      <c r="X8" s="11" t="s">
        <v>29</v>
      </c>
      <c r="AB8" s="90"/>
    </row>
    <row r="9" spans="2:28" ht="15" customHeight="1">
      <c r="B9" s="46" t="str">
        <f>IF(Daten!B15="","",Daten!B15)</f>
        <v>3.W</v>
      </c>
      <c r="C9" s="27" t="str">
        <f>IF(Daten!C15="","",Daten!C15)</f>
        <v>PV Gundernhausen</v>
      </c>
      <c r="D9" s="30">
        <f>IF(L5="","",L5)</f>
        <v>34</v>
      </c>
      <c r="E9" s="9" t="s">
        <v>27</v>
      </c>
      <c r="F9" s="31">
        <f>IF(J5="","",J5)</f>
        <v>34</v>
      </c>
      <c r="G9" s="30">
        <f>IF(L7="","",L7)</f>
        <v>35</v>
      </c>
      <c r="H9" s="9" t="s">
        <v>27</v>
      </c>
      <c r="I9" s="31">
        <f>IF(J7="","",J7)</f>
        <v>38</v>
      </c>
      <c r="J9" s="91"/>
      <c r="K9" s="92"/>
      <c r="L9" s="93"/>
      <c r="M9" s="30">
        <f>IF('Samstag Haupt'!$Q28="","",'Samstag Haupt'!$Q28)</f>
        <v>32</v>
      </c>
      <c r="N9" s="9" t="s">
        <v>27</v>
      </c>
      <c r="O9" s="31">
        <f>IF('Samstag Haupt'!$S28="","",'Samstag Haupt'!$S28)</f>
        <v>43</v>
      </c>
      <c r="P9" s="30">
        <f>IF('Samstag Haupt'!$Q52="","",'Samstag Haupt'!$Q52)</f>
        <v>33</v>
      </c>
      <c r="Q9" s="9" t="s">
        <v>27</v>
      </c>
      <c r="R9" s="31">
        <f>IF('Samstag Haupt'!$S52="","",'Samstag Haupt'!$S52)</f>
        <v>41</v>
      </c>
      <c r="S9" s="8">
        <f>IF(X10="","",SUM(D9,G9,J9,M9,P9))</f>
        <v>134</v>
      </c>
      <c r="T9" s="9" t="s">
        <v>27</v>
      </c>
      <c r="U9" s="10">
        <f>IF(X10="","",SUM(F9,I9,L9,O9,R9))</f>
        <v>156</v>
      </c>
      <c r="V9" s="6">
        <f>IF(X9="","",RANK(W10,($W$6,$W$8,$W$10,$W$12,$W$14),0))</f>
        <v>5</v>
      </c>
      <c r="X9" s="11" t="s">
        <v>29</v>
      </c>
      <c r="AA9">
        <v>3</v>
      </c>
      <c r="AB9" s="90" t="str">
        <f>IF(V9="","",IF($V$5=3,$C$5,IF($V$7=3,$C$7,IF($V$9=3,$C$9,IF($V$11=3,$C$11,IF($V$13=3,$C$13,0))))))</f>
        <v>TSV Burgdorf</v>
      </c>
    </row>
    <row r="10" spans="2:28" ht="10.5" customHeight="1">
      <c r="B10" s="101"/>
      <c r="C10" s="28"/>
      <c r="D10" s="13">
        <f>IF(D9="","",IF(D9&gt;F9,2,IF(D9&lt;F9,0,1)))</f>
        <v>1</v>
      </c>
      <c r="E10" s="7" t="s">
        <v>28</v>
      </c>
      <c r="F10" s="14">
        <f>IF(F9="","",IF(F9&gt;D9,2,IF(F9&lt;D9,0,1)))</f>
        <v>1</v>
      </c>
      <c r="G10" s="13">
        <f>IF(G9="","",IF(G9&gt;I9,2,IF(G9&lt;I9,0,1)))</f>
        <v>0</v>
      </c>
      <c r="H10" s="7" t="s">
        <v>28</v>
      </c>
      <c r="I10" s="14">
        <f>IF(I9="","",IF(I9&gt;G9,2,IF(I9&lt;G9,0,1)))</f>
        <v>2</v>
      </c>
      <c r="J10" s="94"/>
      <c r="K10" s="95"/>
      <c r="L10" s="96"/>
      <c r="M10" s="13">
        <f>IF(M9="","",IF(M9&gt;O9,2,IF(M9&lt;O9,0,1)))</f>
        <v>0</v>
      </c>
      <c r="N10" s="7" t="s">
        <v>28</v>
      </c>
      <c r="O10" s="14">
        <f>IF(O9="","",IF(O9&gt;M9,2,IF(O9&lt;M9,0,1)))</f>
        <v>2</v>
      </c>
      <c r="P10" s="13">
        <f>IF(P9="","",IF(P9&gt;R9,2,IF(P9&lt;R9,0,1)))</f>
        <v>0</v>
      </c>
      <c r="Q10" s="7" t="s">
        <v>28</v>
      </c>
      <c r="R10" s="14">
        <f>IF(R9="","",IF(R9&gt;P9,2,IF(R9&lt;P9,0,1)))</f>
        <v>2</v>
      </c>
      <c r="S10" s="13">
        <f>IF(X10="","",SUM(D10,G10,J10,M10,P10))</f>
        <v>1</v>
      </c>
      <c r="T10" s="7" t="s">
        <v>28</v>
      </c>
      <c r="U10" s="14">
        <f>IF(X10="","",SUM(F10,I10,L10,O10,R10))</f>
        <v>7</v>
      </c>
      <c r="V10" s="15"/>
      <c r="W10" s="16">
        <f>+(S10-U10)+S9/U9+S10</f>
        <v>-4.141025641025641</v>
      </c>
      <c r="X10" s="11" t="s">
        <v>29</v>
      </c>
      <c r="AB10" s="90"/>
    </row>
    <row r="11" spans="2:28" ht="15" customHeight="1">
      <c r="B11" s="46" t="str">
        <f>IF(Daten!B16="","",Daten!B16)</f>
        <v>1.W</v>
      </c>
      <c r="C11" s="27" t="str">
        <f>IF(Daten!C16="","",Daten!C16)</f>
        <v>TV Berkenbaum</v>
      </c>
      <c r="D11" s="30">
        <f>IF(O5="","",O5)</f>
        <v>36</v>
      </c>
      <c r="E11" s="9" t="s">
        <v>27</v>
      </c>
      <c r="F11" s="31">
        <f>IF(M5="","",M5)</f>
        <v>38</v>
      </c>
      <c r="G11" s="30">
        <f>IF(O7="","",O7)</f>
        <v>34</v>
      </c>
      <c r="H11" s="9" t="s">
        <v>27</v>
      </c>
      <c r="I11" s="31">
        <f>IF(M7="","",M7)</f>
        <v>33</v>
      </c>
      <c r="J11" s="30">
        <f>IF(O9="","",O9)</f>
        <v>43</v>
      </c>
      <c r="K11" s="9" t="s">
        <v>27</v>
      </c>
      <c r="L11" s="31">
        <f>IF(M9="","",M9)</f>
        <v>32</v>
      </c>
      <c r="M11" s="91"/>
      <c r="N11" s="92"/>
      <c r="O11" s="93"/>
      <c r="P11" s="30">
        <f>IF('Samstag Haupt'!$Q40="","",'Samstag Haupt'!$Q40)</f>
        <v>41</v>
      </c>
      <c r="Q11" s="9" t="s">
        <v>27</v>
      </c>
      <c r="R11" s="31">
        <f>IF('Samstag Haupt'!$S40="","",'Samstag Haupt'!$S40)</f>
        <v>40</v>
      </c>
      <c r="S11" s="8">
        <f>IF(X12="","",SUM(D11,G11,J11,M11,P11))</f>
        <v>154</v>
      </c>
      <c r="T11" s="9" t="s">
        <v>27</v>
      </c>
      <c r="U11" s="10">
        <f>IF(X12="","",SUM(F11,I11,L11,O11,R11))</f>
        <v>143</v>
      </c>
      <c r="V11" s="6">
        <v>1</v>
      </c>
      <c r="X11" s="11" t="s">
        <v>29</v>
      </c>
      <c r="AA11">
        <v>4</v>
      </c>
      <c r="AB11" s="90" t="str">
        <f>IF(V11="","",IF($V$5=4,$C$5,IF($V$7=4,$C$7,IF($V$9=4,$C$9,IF($V$11=4,$C$11,IF($V$13=4,$C$13,0))))))</f>
        <v>TSV Kirchdorf</v>
      </c>
    </row>
    <row r="12" spans="2:28" ht="10.5" customHeight="1">
      <c r="B12" s="101"/>
      <c r="C12" s="28"/>
      <c r="D12" s="13">
        <f>IF(D11="","",IF(D11&gt;F11,2,IF(D11&lt;F11,0,1)))</f>
        <v>0</v>
      </c>
      <c r="E12" s="7" t="s">
        <v>28</v>
      </c>
      <c r="F12" s="14">
        <f>IF(F11="","",IF(F11&gt;D11,2,IF(F11&lt;D11,0,1)))</f>
        <v>2</v>
      </c>
      <c r="G12" s="13">
        <f>IF(G11="","",IF(G11&gt;I11,2,IF(G11&lt;I11,0,1)))</f>
        <v>2</v>
      </c>
      <c r="H12" s="7" t="s">
        <v>28</v>
      </c>
      <c r="I12" s="14">
        <f>IF(I11="","",IF(I11&gt;G11,2,IF(I11&lt;G11,0,1)))</f>
        <v>0</v>
      </c>
      <c r="J12" s="13">
        <f>IF(J11="","",IF(J11&gt;L11,2,IF(J11&lt;L11,0,1)))</f>
        <v>2</v>
      </c>
      <c r="K12" s="7" t="s">
        <v>28</v>
      </c>
      <c r="L12" s="14">
        <f>IF(L11="","",IF(L11&gt;J11,2,IF(L11&lt;J11,0,1)))</f>
        <v>0</v>
      </c>
      <c r="M12" s="94"/>
      <c r="N12" s="95"/>
      <c r="O12" s="96"/>
      <c r="P12" s="13">
        <f>IF(P11="","",IF(P11&gt;R11,2,IF(P11&lt;R11,0,1)))</f>
        <v>2</v>
      </c>
      <c r="Q12" s="7" t="s">
        <v>28</v>
      </c>
      <c r="R12" s="14">
        <f>IF(R11="","",IF(R11&gt;P11,2,IF(R11&lt;P11,0,1)))</f>
        <v>0</v>
      </c>
      <c r="S12" s="13">
        <f>IF(X12="","",SUM(D12,G12,J12,M12,P12))</f>
        <v>6</v>
      </c>
      <c r="T12" s="7" t="s">
        <v>28</v>
      </c>
      <c r="U12" s="14">
        <f>IF(X12="","",SUM(F12,I12,L12,O12,R12))</f>
        <v>2</v>
      </c>
      <c r="V12" s="15"/>
      <c r="W12" s="16">
        <f>+(S12-U12)+S11/U11+S12</f>
        <v>11.076923076923077</v>
      </c>
      <c r="X12" s="11" t="s">
        <v>29</v>
      </c>
      <c r="AB12" s="90"/>
    </row>
    <row r="13" spans="2:28" ht="15" customHeight="1">
      <c r="B13" s="46" t="str">
        <f>IF(Daten!B17="","",Daten!B17)</f>
        <v>1.S</v>
      </c>
      <c r="C13" s="27" t="str">
        <f>IF(Daten!C17="","",Daten!C17)</f>
        <v>TV Wertheim</v>
      </c>
      <c r="D13" s="30">
        <f>IF(R5="","",R5)</f>
        <v>33</v>
      </c>
      <c r="E13" s="9" t="s">
        <v>27</v>
      </c>
      <c r="F13" s="31">
        <f>IF(P5="","",P5)</f>
        <v>32</v>
      </c>
      <c r="G13" s="30">
        <f>IF(R7="","",R7)</f>
        <v>41</v>
      </c>
      <c r="H13" s="9" t="s">
        <v>27</v>
      </c>
      <c r="I13" s="31">
        <f>IF(P7="","",P7)</f>
        <v>32</v>
      </c>
      <c r="J13" s="30">
        <f>IF(R9="","",R9)</f>
        <v>41</v>
      </c>
      <c r="K13" s="9" t="s">
        <v>27</v>
      </c>
      <c r="L13" s="31">
        <f>IF(P9="","",P9)</f>
        <v>33</v>
      </c>
      <c r="M13" s="30">
        <f>IF(R11="","",R11)</f>
        <v>40</v>
      </c>
      <c r="N13" s="9" t="s">
        <v>27</v>
      </c>
      <c r="O13" s="31">
        <f>IF(P11="","",P11)</f>
        <v>41</v>
      </c>
      <c r="P13" s="91"/>
      <c r="Q13" s="92"/>
      <c r="R13" s="93"/>
      <c r="S13" s="8">
        <f>IF(X14="","",SUM(D13,G13,J13,M13,P13))</f>
        <v>155</v>
      </c>
      <c r="T13" s="9" t="s">
        <v>27</v>
      </c>
      <c r="U13" s="10">
        <f>IF(X14="","",SUM(F13,I13,L13,O13,R13))</f>
        <v>138</v>
      </c>
      <c r="V13" s="6">
        <v>2</v>
      </c>
      <c r="X13" s="11" t="s">
        <v>29</v>
      </c>
      <c r="AA13">
        <v>5</v>
      </c>
      <c r="AB13" s="90" t="str">
        <f>IF(V13="","",IF($V$5=5,$C$5,IF($V$7=5,$C$7,IF($V$9=5,$C$9,IF($V$11=5,$C$11,IF($V$13=5,$C$13,0))))))</f>
        <v>PV Gundernhausen</v>
      </c>
    </row>
    <row r="14" spans="2:24" ht="10.5" customHeight="1">
      <c r="B14" s="101"/>
      <c r="C14" s="29"/>
      <c r="D14" s="13">
        <f>IF(D13="","",IF(D13&gt;F13,2,IF(D13&lt;F13,0,1)))</f>
        <v>2</v>
      </c>
      <c r="E14" s="7" t="s">
        <v>28</v>
      </c>
      <c r="F14" s="14">
        <f>IF(F13="","",IF(F13&gt;D13,2,IF(F13&lt;D13,0,1)))</f>
        <v>0</v>
      </c>
      <c r="G14" s="13">
        <f>IF(G13="","",IF(G13&gt;I13,2,IF(G13&lt;I13,0,1)))</f>
        <v>2</v>
      </c>
      <c r="H14" s="7" t="s">
        <v>28</v>
      </c>
      <c r="I14" s="14">
        <f>IF(I13="","",IF(I13&gt;G13,2,IF(I13&lt;G13,0,1)))</f>
        <v>0</v>
      </c>
      <c r="J14" s="13">
        <f>IF(J13="","",IF(J13&gt;L13,2,IF(J13&lt;L13,0,1)))</f>
        <v>2</v>
      </c>
      <c r="K14" s="7" t="s">
        <v>28</v>
      </c>
      <c r="L14" s="14">
        <f>IF(L13="","",IF(L13&gt;J13,2,IF(L13&lt;J13,0,1)))</f>
        <v>0</v>
      </c>
      <c r="M14" s="13">
        <f>IF(M13="","",IF(M13&gt;O13,2,IF(M13&lt;O13,0,1)))</f>
        <v>0</v>
      </c>
      <c r="N14" s="7" t="s">
        <v>28</v>
      </c>
      <c r="O14" s="14">
        <f>IF(O13="","",IF(O13&gt;M13,2,IF(O13&lt;M13,0,1)))</f>
        <v>2</v>
      </c>
      <c r="P14" s="94"/>
      <c r="Q14" s="95"/>
      <c r="R14" s="96"/>
      <c r="S14" s="13">
        <f>IF(X14="","",SUM(D14,G14,J14,M14,P14))</f>
        <v>6</v>
      </c>
      <c r="T14" s="7" t="s">
        <v>28</v>
      </c>
      <c r="U14" s="14">
        <f>IF(X14="","",SUM(F14,I14,L14,O14,R14))</f>
        <v>2</v>
      </c>
      <c r="V14" s="15"/>
      <c r="W14" s="16">
        <f>+(S14-U14)+S13/U13+S14</f>
        <v>11.123188405797102</v>
      </c>
      <c r="X14" s="11" t="s">
        <v>29</v>
      </c>
    </row>
    <row r="15" spans="2:24" ht="9.75" customHeight="1">
      <c r="B15" s="41"/>
      <c r="C15" s="41"/>
      <c r="D15" s="42"/>
      <c r="E15" s="9"/>
      <c r="F15" s="43"/>
      <c r="G15" s="42"/>
      <c r="H15" s="9"/>
      <c r="I15" s="43"/>
      <c r="J15" s="42"/>
      <c r="K15" s="9"/>
      <c r="L15" s="43"/>
      <c r="M15" s="42"/>
      <c r="N15" s="9"/>
      <c r="O15" s="43"/>
      <c r="P15" s="18"/>
      <c r="Q15" s="18"/>
      <c r="R15" s="18"/>
      <c r="S15" s="42"/>
      <c r="T15" s="9"/>
      <c r="U15" s="43"/>
      <c r="V15" s="5"/>
      <c r="W15" s="16"/>
      <c r="X15" s="11"/>
    </row>
    <row r="16" spans="2:24" ht="9.75" customHeight="1" outlineLevel="1">
      <c r="B16" s="103" t="s">
        <v>30</v>
      </c>
      <c r="C16" s="32" t="str">
        <f>+C5</f>
        <v>TSV Burgdorf</v>
      </c>
      <c r="D16" s="33"/>
      <c r="E16" s="142"/>
      <c r="F16" s="34"/>
      <c r="G16" s="35"/>
      <c r="H16" s="36" t="s">
        <v>27</v>
      </c>
      <c r="I16" s="37"/>
      <c r="J16" s="35"/>
      <c r="K16" s="36" t="s">
        <v>27</v>
      </c>
      <c r="L16" s="37"/>
      <c r="M16" s="35"/>
      <c r="N16" s="36" t="s">
        <v>27</v>
      </c>
      <c r="O16" s="37"/>
      <c r="P16" s="38"/>
      <c r="Q16" s="36" t="s">
        <v>27</v>
      </c>
      <c r="R16" s="110"/>
      <c r="S16" s="22"/>
      <c r="T16" s="23"/>
      <c r="U16" s="24"/>
      <c r="V16" s="25"/>
      <c r="W16" s="16"/>
      <c r="X16" s="11"/>
    </row>
    <row r="17" spans="2:24" ht="9.75" customHeight="1" outlineLevel="1">
      <c r="B17" s="21"/>
      <c r="C17" s="32" t="str">
        <f>+C7</f>
        <v>TSV Kirchdorf</v>
      </c>
      <c r="D17" s="35">
        <f>IF(I16="","",I16)</f>
      </c>
      <c r="E17" s="36" t="s">
        <v>27</v>
      </c>
      <c r="F17" s="37">
        <f>IF(G16="","",G16)</f>
      </c>
      <c r="G17" s="33"/>
      <c r="H17" s="142"/>
      <c r="I17" s="34"/>
      <c r="J17" s="35"/>
      <c r="K17" s="36" t="s">
        <v>27</v>
      </c>
      <c r="L17" s="37"/>
      <c r="M17" s="35"/>
      <c r="N17" s="36" t="s">
        <v>27</v>
      </c>
      <c r="O17" s="37"/>
      <c r="P17" s="38"/>
      <c r="Q17" s="36" t="s">
        <v>27</v>
      </c>
      <c r="R17" s="110"/>
      <c r="S17" s="22"/>
      <c r="T17" s="23"/>
      <c r="U17" s="24"/>
      <c r="V17" s="25"/>
      <c r="W17" s="16"/>
      <c r="X17" s="11"/>
    </row>
    <row r="18" spans="2:24" ht="9.75" customHeight="1" outlineLevel="1">
      <c r="B18" s="21"/>
      <c r="C18" s="32" t="str">
        <f>+C9</f>
        <v>PV Gundernhausen</v>
      </c>
      <c r="D18" s="35">
        <f>IF(L16="","",L16)</f>
      </c>
      <c r="E18" s="36" t="s">
        <v>27</v>
      </c>
      <c r="F18" s="37">
        <f>IF(J16="","",J16)</f>
      </c>
      <c r="G18" s="35">
        <f>IF(L17="","",L17)</f>
      </c>
      <c r="H18" s="36" t="s">
        <v>27</v>
      </c>
      <c r="I18" s="37">
        <f>IF(J17="","",J17)</f>
      </c>
      <c r="J18" s="33"/>
      <c r="K18" s="142"/>
      <c r="L18" s="34"/>
      <c r="M18" s="35"/>
      <c r="N18" s="36" t="s">
        <v>27</v>
      </c>
      <c r="O18" s="37"/>
      <c r="P18" s="38"/>
      <c r="Q18" s="36" t="s">
        <v>27</v>
      </c>
      <c r="R18" s="110"/>
      <c r="S18" s="22"/>
      <c r="T18" s="23"/>
      <c r="U18" s="24"/>
      <c r="V18" s="25"/>
      <c r="W18" s="16"/>
      <c r="X18" s="11"/>
    </row>
    <row r="19" spans="2:24" ht="9.75" customHeight="1" outlineLevel="1">
      <c r="B19" s="21"/>
      <c r="C19" s="32" t="str">
        <f>+C11</f>
        <v>TV Berkenbaum</v>
      </c>
      <c r="D19" s="35">
        <f>IF(O16="","",O16)</f>
      </c>
      <c r="E19" s="36" t="s">
        <v>27</v>
      </c>
      <c r="F19" s="37">
        <f>IF(M16="","",M16)</f>
      </c>
      <c r="G19" s="35">
        <f>IF(O17="","",O17)</f>
      </c>
      <c r="H19" s="36" t="s">
        <v>27</v>
      </c>
      <c r="I19" s="37">
        <f>IF(M17="","",M17)</f>
      </c>
      <c r="J19" s="35">
        <f>IF(O18="","",O18)</f>
      </c>
      <c r="K19" s="36" t="s">
        <v>27</v>
      </c>
      <c r="L19" s="37">
        <f>IF(M18="","",M18)</f>
      </c>
      <c r="M19" s="33"/>
      <c r="N19" s="142"/>
      <c r="O19" s="34"/>
      <c r="P19" s="38"/>
      <c r="Q19" s="36" t="s">
        <v>27</v>
      </c>
      <c r="R19" s="110"/>
      <c r="S19" s="22"/>
      <c r="T19" s="23"/>
      <c r="U19" s="24"/>
      <c r="V19" s="25"/>
      <c r="W19" s="16"/>
      <c r="X19" s="11"/>
    </row>
    <row r="20" spans="2:24" ht="9.75" customHeight="1" outlineLevel="1">
      <c r="B20" s="21"/>
      <c r="C20" s="32" t="str">
        <f>+C13</f>
        <v>TV Wertheim</v>
      </c>
      <c r="D20" s="35">
        <f>IF(R16="","",R16)</f>
      </c>
      <c r="E20" s="36" t="s">
        <v>27</v>
      </c>
      <c r="F20" s="37">
        <f>IF(P16="","",P16)</f>
      </c>
      <c r="G20" s="35">
        <f>IF(R17="","",R17)</f>
      </c>
      <c r="H20" s="36" t="s">
        <v>27</v>
      </c>
      <c r="I20" s="37">
        <f>IF(P17="","",P17)</f>
      </c>
      <c r="J20" s="35">
        <f>IF(R18="","",R18)</f>
      </c>
      <c r="K20" s="36" t="s">
        <v>27</v>
      </c>
      <c r="L20" s="37">
        <f>IF(P18="","",P18)</f>
      </c>
      <c r="M20" s="35">
        <f>IF(R19="","",R19)</f>
      </c>
      <c r="N20" s="36" t="s">
        <v>27</v>
      </c>
      <c r="O20" s="37">
        <f>IF(P19="","",P19)</f>
      </c>
      <c r="P20" s="33"/>
      <c r="Q20" s="194"/>
      <c r="R20" s="34"/>
      <c r="S20" s="22"/>
      <c r="T20" s="23"/>
      <c r="U20" s="24"/>
      <c r="V20" s="25"/>
      <c r="W20" s="16"/>
      <c r="X20" s="11"/>
    </row>
    <row r="22" spans="2:22" ht="12.75" customHeight="1">
      <c r="B22" s="130"/>
      <c r="C22" s="69" t="str">
        <f>+Daten!F12</f>
        <v>Gruppe F</v>
      </c>
      <c r="D22" s="19"/>
      <c r="E22" s="48" t="str">
        <f>+C23</f>
        <v>TV Grohn</v>
      </c>
      <c r="F22" s="20"/>
      <c r="G22" s="19"/>
      <c r="H22" s="48" t="str">
        <f>+C25</f>
        <v>SF Ricklingen</v>
      </c>
      <c r="I22" s="20"/>
      <c r="J22" s="19"/>
      <c r="K22" s="48" t="str">
        <f>+C27</f>
        <v>TV Offenburg</v>
      </c>
      <c r="L22" s="20"/>
      <c r="M22" s="19"/>
      <c r="N22" s="48" t="str">
        <f>+C29</f>
        <v>VT Contwig</v>
      </c>
      <c r="O22" s="20"/>
      <c r="P22" s="19"/>
      <c r="Q22" s="48" t="str">
        <f>+C31</f>
        <v>TV FA Altenbochum</v>
      </c>
      <c r="R22" s="20"/>
      <c r="S22" s="19"/>
      <c r="T22" s="51" t="s">
        <v>24</v>
      </c>
      <c r="U22" s="20"/>
      <c r="V22" s="52" t="s">
        <v>25</v>
      </c>
    </row>
    <row r="23" spans="2:28" ht="15" customHeight="1">
      <c r="B23" s="46" t="str">
        <f>IF(Daten!E13="","",Daten!E13)</f>
        <v>3.N</v>
      </c>
      <c r="C23" s="27" t="str">
        <f>IF(Daten!F13="","",Daten!F13)</f>
        <v>TV Grohn</v>
      </c>
      <c r="D23" s="91"/>
      <c r="E23" s="92"/>
      <c r="F23" s="93"/>
      <c r="G23" s="30">
        <f>IF('Samstag Haupt'!$Q25="","",'Samstag Haupt'!$Q25)</f>
        <v>33</v>
      </c>
      <c r="H23" s="9" t="s">
        <v>27</v>
      </c>
      <c r="I23" s="31">
        <f>IF('Samstag Haupt'!$S25="","",'Samstag Haupt'!$S25)</f>
        <v>43</v>
      </c>
      <c r="J23" s="30">
        <f>IF('Samstag Haupt'!$Q45="","",'Samstag Haupt'!$Q45)</f>
        <v>48</v>
      </c>
      <c r="K23" s="9" t="s">
        <v>27</v>
      </c>
      <c r="L23" s="31">
        <f>IF('Samstag Haupt'!$S45="","",'Samstag Haupt'!$S45)</f>
        <v>38</v>
      </c>
      <c r="M23" s="30">
        <f>IF('Samstag Haupt'!$Q57="","",'Samstag Haupt'!$Q57)</f>
        <v>41</v>
      </c>
      <c r="N23" s="9" t="s">
        <v>27</v>
      </c>
      <c r="O23" s="31">
        <f>IF('Samstag Haupt'!$S57="","",'Samstag Haupt'!$S57)</f>
        <v>33</v>
      </c>
      <c r="P23" s="30">
        <f>IF('Samstag Haupt'!$Q33="","",'Samstag Haupt'!$Q33)</f>
        <v>34</v>
      </c>
      <c r="Q23" s="9" t="s">
        <v>27</v>
      </c>
      <c r="R23" s="31">
        <f>IF('Samstag Haupt'!$S33="","",'Samstag Haupt'!$S33)</f>
        <v>37</v>
      </c>
      <c r="S23" s="30">
        <f>IF(X24="","",SUM(D23,G23,J23,M23,P23))</f>
        <v>156</v>
      </c>
      <c r="T23" s="9" t="s">
        <v>27</v>
      </c>
      <c r="U23" s="31">
        <f>IF(X24="","",SUM(F23,I23,L23,O23,R23))</f>
        <v>151</v>
      </c>
      <c r="V23" s="26">
        <f>IF(X23="","",RANK(W24,($W$24,$W$26,$W$28,$W$30,$W$32),0))</f>
        <v>3</v>
      </c>
      <c r="X23" s="11" t="s">
        <v>29</v>
      </c>
      <c r="AA23">
        <v>1</v>
      </c>
      <c r="AB23" t="str">
        <f>IF(V23="","",IF($V$23=1,$C$23,IF($V$25=1,$C$25,IF($V$27=1,$C$27,IF($V$29=1,$C$29,IF($V$31=1,$C$31,0))))))</f>
        <v>SF Ricklingen</v>
      </c>
    </row>
    <row r="24" spans="2:24" ht="10.5" customHeight="1">
      <c r="B24" s="97"/>
      <c r="C24" s="12"/>
      <c r="D24" s="94"/>
      <c r="E24" s="95"/>
      <c r="F24" s="96"/>
      <c r="G24" s="13">
        <f>IF(G23="","",IF(G23&gt;I23,2,IF(G23&lt;I23,0,1)))</f>
        <v>0</v>
      </c>
      <c r="H24" s="7" t="s">
        <v>28</v>
      </c>
      <c r="I24" s="14">
        <f>IF(I23="","",IF(I23&gt;G23,2,IF(I23&lt;G23,0,1)))</f>
        <v>2</v>
      </c>
      <c r="J24" s="13">
        <f>IF(J23="","",IF(J23&gt;L23,2,IF(J23&lt;L23,0,1)))</f>
        <v>2</v>
      </c>
      <c r="K24" s="7" t="s">
        <v>28</v>
      </c>
      <c r="L24" s="14">
        <f>IF(L23="","",IF(L23&gt;J23,2,IF(L23&lt;J23,0,1)))</f>
        <v>0</v>
      </c>
      <c r="M24" s="13">
        <f>IF(M23="","",IF(M23&gt;O23,2,IF(M23&lt;O23,0,1)))</f>
        <v>2</v>
      </c>
      <c r="N24" s="7" t="s">
        <v>28</v>
      </c>
      <c r="O24" s="14">
        <f>IF(O23="","",IF(O23&gt;M23,2,IF(O23&lt;M23,0,1)))</f>
        <v>0</v>
      </c>
      <c r="P24" s="13">
        <f>IF(P23="","",IF(P23&gt;R23,2,IF(P23&lt;R23,0,1)))</f>
        <v>0</v>
      </c>
      <c r="Q24" s="7" t="s">
        <v>28</v>
      </c>
      <c r="R24" s="14">
        <f>IF(R23="","",IF(R23&gt;P23,2,IF(R23&lt;P23,0,1)))</f>
        <v>2</v>
      </c>
      <c r="S24" s="13">
        <f>IF(X24="","",SUM(D24,G24,J24,M24,P24))</f>
        <v>4</v>
      </c>
      <c r="T24" s="7" t="s">
        <v>28</v>
      </c>
      <c r="U24" s="14">
        <f>IF(X24="","",SUM(F24,I24,L24,O24,R24))</f>
        <v>4</v>
      </c>
      <c r="V24" s="15"/>
      <c r="W24" s="16">
        <f>+(S24-U24)+S23/U23+S24</f>
        <v>5.033112582781457</v>
      </c>
      <c r="X24" s="11" t="s">
        <v>29</v>
      </c>
    </row>
    <row r="25" spans="2:28" ht="15" customHeight="1">
      <c r="B25" s="46" t="str">
        <f>IF(Daten!E14="","",Daten!E14)</f>
        <v>1.N</v>
      </c>
      <c r="C25" s="27" t="str">
        <f>IF(Daten!F14="","",Daten!F14)</f>
        <v>SF Ricklingen</v>
      </c>
      <c r="D25" s="30">
        <f>IF(I23="","",I23)</f>
        <v>43</v>
      </c>
      <c r="E25" s="9" t="s">
        <v>27</v>
      </c>
      <c r="F25" s="31">
        <f>IF(G23="","",G23)</f>
        <v>33</v>
      </c>
      <c r="G25" s="91"/>
      <c r="H25" s="92"/>
      <c r="I25" s="93"/>
      <c r="J25" s="30">
        <f>IF('Samstag Haupt'!$Q37="","",'Samstag Haupt'!$Q37)</f>
        <v>41</v>
      </c>
      <c r="K25" s="9" t="s">
        <v>27</v>
      </c>
      <c r="L25" s="31">
        <f>IF('Samstag Haupt'!$S37="","",'Samstag Haupt'!$S37)</f>
        <v>32</v>
      </c>
      <c r="M25" s="30">
        <f>IF('Samstag Haupt'!$Q49="","",'Samstag Haupt'!$Q49)</f>
        <v>50</v>
      </c>
      <c r="N25" s="9" t="s">
        <v>27</v>
      </c>
      <c r="O25" s="31">
        <f>IF('Samstag Haupt'!$S49="","",'Samstag Haupt'!$S49)</f>
        <v>24</v>
      </c>
      <c r="P25" s="30">
        <f>IF('Samstag Haupt'!$Q61="","",'Samstag Haupt'!$Q61)</f>
        <v>36</v>
      </c>
      <c r="Q25" s="9" t="s">
        <v>27</v>
      </c>
      <c r="R25" s="31">
        <f>IF('Samstag Haupt'!$S61="","",'Samstag Haupt'!$S61)</f>
        <v>32</v>
      </c>
      <c r="S25" s="30">
        <f>IF(X26="","",SUM(D25,G25,J25,M25,P25))</f>
        <v>170</v>
      </c>
      <c r="T25" s="9" t="s">
        <v>27</v>
      </c>
      <c r="U25" s="31">
        <f>IF(X26="","",SUM(F25,I25,L25,O25,R25))</f>
        <v>121</v>
      </c>
      <c r="V25" s="6">
        <f>IF(X25="","",RANK(W26,($W$24,$W$26,$W$28,$W$30,$W$32),0))</f>
        <v>1</v>
      </c>
      <c r="X25" s="11" t="s">
        <v>29</v>
      </c>
      <c r="AA25">
        <v>2</v>
      </c>
      <c r="AB25" t="str">
        <f>IF(V25="","",IF($V$23=2,$C$23,IF($V$25=2,$C$25,IF($V$27=2,$C$27,IF($V$29=2,$C$29,IF($V$31=2,$C$31,0))))))</f>
        <v>TV FA Altenbochum</v>
      </c>
    </row>
    <row r="26" spans="2:24" ht="10.5" customHeight="1">
      <c r="B26" s="97"/>
      <c r="C26" s="12"/>
      <c r="D26" s="13">
        <f>IF(D25="","",IF(D25&gt;F25,2,IF(D25&lt;F25,0,1)))</f>
        <v>2</v>
      </c>
      <c r="E26" s="7" t="s">
        <v>28</v>
      </c>
      <c r="F26" s="14">
        <f>IF(F25="","",IF(F25&gt;D25,2,IF(F25&lt;D25,0,1)))</f>
        <v>0</v>
      </c>
      <c r="G26" s="94"/>
      <c r="H26" s="95"/>
      <c r="I26" s="96"/>
      <c r="J26" s="13">
        <f>IF(J25="","",IF(J25&gt;L25,2,IF(J25&lt;L25,0,1)))</f>
        <v>2</v>
      </c>
      <c r="K26" s="7" t="s">
        <v>28</v>
      </c>
      <c r="L26" s="14">
        <f>IF(L25="","",IF(L25&gt;J25,2,IF(L25&lt;J25,0,1)))</f>
        <v>0</v>
      </c>
      <c r="M26" s="13">
        <f>IF(M25="","",IF(M25&gt;O25,2,IF(M25&lt;O25,0,1)))</f>
        <v>2</v>
      </c>
      <c r="N26" s="7" t="s">
        <v>28</v>
      </c>
      <c r="O26" s="14">
        <f>IF(O25="","",IF(O25&gt;M25,2,IF(O25&lt;M25,0,1)))</f>
        <v>0</v>
      </c>
      <c r="P26" s="13">
        <f>IF(P25="","",IF(P25&gt;R25,2,IF(P25&lt;R25,0,1)))</f>
        <v>2</v>
      </c>
      <c r="Q26" s="7" t="s">
        <v>28</v>
      </c>
      <c r="R26" s="14">
        <f>IF(R25="","",IF(R25&gt;P25,2,IF(R25&lt;P25,0,1)))</f>
        <v>0</v>
      </c>
      <c r="S26" s="13">
        <f>IF(X26="","",SUM(D26,G26,J26,M26,P26))</f>
        <v>8</v>
      </c>
      <c r="T26" s="7" t="s">
        <v>28</v>
      </c>
      <c r="U26" s="14">
        <f>IF(X26="","",SUM(F26,I26,L26,O26,R26))</f>
        <v>0</v>
      </c>
      <c r="V26" s="15"/>
      <c r="W26" s="16">
        <f>+(S26-U26)+S25/U25+S26</f>
        <v>17.40495867768595</v>
      </c>
      <c r="X26" s="11" t="s">
        <v>29</v>
      </c>
    </row>
    <row r="27" spans="2:28" ht="15" customHeight="1">
      <c r="B27" s="46" t="str">
        <f>IF(Daten!E15="","",Daten!E15)</f>
        <v>3.S</v>
      </c>
      <c r="C27" s="27" t="str">
        <f>IF(Daten!F15="","",Daten!F15)</f>
        <v>TV Offenburg</v>
      </c>
      <c r="D27" s="30">
        <f>IF(L23="","",L23)</f>
        <v>38</v>
      </c>
      <c r="E27" s="9" t="s">
        <v>27</v>
      </c>
      <c r="F27" s="31">
        <f>IF(J23="","",J23)</f>
        <v>48</v>
      </c>
      <c r="G27" s="30">
        <f>IF(L25="","",L25)</f>
        <v>32</v>
      </c>
      <c r="H27" s="9" t="s">
        <v>27</v>
      </c>
      <c r="I27" s="31">
        <f>IF(J25="","",J25)</f>
        <v>41</v>
      </c>
      <c r="J27" s="91"/>
      <c r="K27" s="92"/>
      <c r="L27" s="93"/>
      <c r="M27" s="30">
        <f>IF('Samstag Haupt'!$Q29="","",'Samstag Haupt'!$Q29)</f>
        <v>36</v>
      </c>
      <c r="N27" s="9" t="s">
        <v>27</v>
      </c>
      <c r="O27" s="31">
        <f>IF('Samstag Haupt'!$S29="","",'Samstag Haupt'!$S29)</f>
        <v>42</v>
      </c>
      <c r="P27" s="30">
        <f>IF('Samstag Haupt'!$Q53="","",'Samstag Haupt'!$Q53)</f>
        <v>44</v>
      </c>
      <c r="Q27" s="9" t="s">
        <v>27</v>
      </c>
      <c r="R27" s="31">
        <f>IF('Samstag Haupt'!$S53="","",'Samstag Haupt'!$S53)</f>
        <v>47</v>
      </c>
      <c r="S27" s="30">
        <f>IF(X28="","",SUM(D27,G27,J27,M27,P27))</f>
        <v>150</v>
      </c>
      <c r="T27" s="9" t="s">
        <v>27</v>
      </c>
      <c r="U27" s="31">
        <f>IF(X28="","",SUM(F27,I27,L27,O27,R27))</f>
        <v>178</v>
      </c>
      <c r="V27" s="6">
        <f>IF(X27="","",RANK(W28,($W$24,$W$26,$W$28,$W$30,$W$32),0))</f>
        <v>5</v>
      </c>
      <c r="X27" s="11" t="s">
        <v>29</v>
      </c>
      <c r="AA27">
        <v>3</v>
      </c>
      <c r="AB27" t="str">
        <f>IF(V27="","",IF($V$23=3,$C$23,IF($V$25=3,$C$25,IF($V$27=3,$C$27,IF($V$29=3,$C$29,IF($V$31=3,$C$31,0))))))</f>
        <v>TV Grohn</v>
      </c>
    </row>
    <row r="28" spans="2:24" ht="10.5" customHeight="1">
      <c r="B28" s="98"/>
      <c r="C28" s="17"/>
      <c r="D28" s="13">
        <f>IF(D27="","",IF(D27&gt;F27,2,IF(D27&lt;F27,0,1)))</f>
        <v>0</v>
      </c>
      <c r="E28" s="7" t="s">
        <v>28</v>
      </c>
      <c r="F28" s="14">
        <f>IF(F27="","",IF(F27&gt;D27,2,IF(F27&lt;D27,0,1)))</f>
        <v>2</v>
      </c>
      <c r="G28" s="13">
        <f>IF(G27="","",IF(G27&gt;I27,2,IF(G27&lt;I27,0,1)))</f>
        <v>0</v>
      </c>
      <c r="H28" s="7" t="s">
        <v>28</v>
      </c>
      <c r="I28" s="14">
        <f>IF(I27="","",IF(I27&gt;G27,2,IF(I27&lt;G27,0,1)))</f>
        <v>2</v>
      </c>
      <c r="J28" s="94"/>
      <c r="K28" s="95"/>
      <c r="L28" s="96"/>
      <c r="M28" s="13">
        <f>IF(M27="","",IF(M27&gt;O27,2,IF(M27&lt;O27,0,1)))</f>
        <v>0</v>
      </c>
      <c r="N28" s="7" t="s">
        <v>28</v>
      </c>
      <c r="O28" s="14">
        <f>IF(O27="","",IF(O27&gt;M27,2,IF(O27&lt;M27,0,1)))</f>
        <v>2</v>
      </c>
      <c r="P28" s="13">
        <f>IF(P27="","",IF(P27&gt;R27,2,IF(P27&lt;R27,0,1)))</f>
        <v>0</v>
      </c>
      <c r="Q28" s="7" t="s">
        <v>28</v>
      </c>
      <c r="R28" s="14">
        <f>IF(R27="","",IF(R27&gt;P27,2,IF(R27&lt;P27,0,1)))</f>
        <v>2</v>
      </c>
      <c r="S28" s="13">
        <f>IF(X28="","",SUM(D28,G28,J28,M28,P28))</f>
        <v>0</v>
      </c>
      <c r="T28" s="7" t="s">
        <v>28</v>
      </c>
      <c r="U28" s="14">
        <f>IF(X28="","",SUM(F28,I28,L28,O28,R28))</f>
        <v>8</v>
      </c>
      <c r="V28" s="15"/>
      <c r="W28" s="16">
        <f>+(S28-U28)+S27/U27+S28</f>
        <v>-7.157303370786517</v>
      </c>
      <c r="X28" s="11" t="s">
        <v>29</v>
      </c>
    </row>
    <row r="29" spans="2:28" ht="15" customHeight="1">
      <c r="B29" s="46" t="str">
        <f>IF(Daten!E16="","",Daten!E16)</f>
        <v>2.S</v>
      </c>
      <c r="C29" s="27" t="str">
        <f>IF(Daten!F16="","",Daten!F16)</f>
        <v>VT Contwig</v>
      </c>
      <c r="D29" s="30">
        <f>IF(O23="","",O23)</f>
        <v>33</v>
      </c>
      <c r="E29" s="9" t="s">
        <v>27</v>
      </c>
      <c r="F29" s="31">
        <f>IF(M23="","",M23)</f>
        <v>41</v>
      </c>
      <c r="G29" s="30">
        <f>IF(O25="","",O25)</f>
        <v>24</v>
      </c>
      <c r="H29" s="9" t="s">
        <v>27</v>
      </c>
      <c r="I29" s="31">
        <f>IF(M25="","",M25)</f>
        <v>50</v>
      </c>
      <c r="J29" s="30">
        <f>IF(O27="","",O27)</f>
        <v>42</v>
      </c>
      <c r="K29" s="9" t="s">
        <v>27</v>
      </c>
      <c r="L29" s="31">
        <f>IF(M27="","",M27)</f>
        <v>36</v>
      </c>
      <c r="M29" s="91"/>
      <c r="N29" s="92"/>
      <c r="O29" s="93"/>
      <c r="P29" s="30">
        <f>IF('Samstag Haupt'!$Q41="","",'Samstag Haupt'!$Q41)</f>
        <v>35</v>
      </c>
      <c r="Q29" s="9" t="s">
        <v>27</v>
      </c>
      <c r="R29" s="31">
        <f>IF('Samstag Haupt'!$S41="","",'Samstag Haupt'!$S41)</f>
        <v>42</v>
      </c>
      <c r="S29" s="30">
        <f>IF(X30="","",SUM(D29,G29,J29,M29,P29))</f>
        <v>134</v>
      </c>
      <c r="T29" s="9" t="s">
        <v>27</v>
      </c>
      <c r="U29" s="31">
        <f>IF(X30="","",SUM(F29,I29,L29,O29,R29))</f>
        <v>169</v>
      </c>
      <c r="V29" s="6">
        <f>IF(X29="","",RANK(W30,($W$24,$W$26,$W$28,$W$30,$W$32),0))</f>
        <v>4</v>
      </c>
      <c r="X29" s="11" t="s">
        <v>29</v>
      </c>
      <c r="AA29">
        <v>4</v>
      </c>
      <c r="AB29" t="str">
        <f>IF(V29="","",IF($V$23=4,$C$23,IF($V$25=4,$C$25,IF($V$27=4,$C$27,IF($V$29=4,$C$29,IF($V$31=4,$C$31,0))))))</f>
        <v>VT Contwig</v>
      </c>
    </row>
    <row r="30" spans="2:24" ht="10.5" customHeight="1">
      <c r="B30" s="97"/>
      <c r="C30" s="17"/>
      <c r="D30" s="13">
        <f>IF(D29="","",IF(D29&gt;F29,2,IF(D29&lt;F29,0,1)))</f>
        <v>0</v>
      </c>
      <c r="E30" s="7" t="s">
        <v>28</v>
      </c>
      <c r="F30" s="14">
        <f>IF(F29="","",IF(F29&gt;D29,2,IF(F29&lt;D29,0,1)))</f>
        <v>2</v>
      </c>
      <c r="G30" s="13">
        <f>IF(G29="","",IF(G29&gt;I29,2,IF(G29&lt;I29,0,1)))</f>
        <v>0</v>
      </c>
      <c r="H30" s="7" t="s">
        <v>28</v>
      </c>
      <c r="I30" s="14">
        <f>IF(I29="","",IF(I29&gt;G29,2,IF(I29&lt;G29,0,1)))</f>
        <v>2</v>
      </c>
      <c r="J30" s="13">
        <f>IF(J29="","",IF(J29&gt;L29,2,IF(J29&lt;L29,0,1)))</f>
        <v>2</v>
      </c>
      <c r="K30" s="7" t="s">
        <v>28</v>
      </c>
      <c r="L30" s="14">
        <f>IF(L29="","",IF(L29&gt;J29,2,IF(L29&lt;J29,0,1)))</f>
        <v>0</v>
      </c>
      <c r="M30" s="94"/>
      <c r="N30" s="95"/>
      <c r="O30" s="96"/>
      <c r="P30" s="13">
        <f>IF(P29="","",IF(P29&gt;R29,2,IF(P29&lt;R29,0,1)))</f>
        <v>0</v>
      </c>
      <c r="Q30" s="7" t="s">
        <v>28</v>
      </c>
      <c r="R30" s="14">
        <f>IF(R29="","",IF(R29&gt;P29,2,IF(R29&lt;P29,0,1)))</f>
        <v>2</v>
      </c>
      <c r="S30" s="13">
        <f>IF(X30="","",SUM(D30,G30,J30,M30,P30))</f>
        <v>2</v>
      </c>
      <c r="T30" s="7" t="s">
        <v>28</v>
      </c>
      <c r="U30" s="14">
        <f>IF(X30="","",SUM(F30,I30,L30,O30,R30))</f>
        <v>6</v>
      </c>
      <c r="V30" s="15"/>
      <c r="W30" s="16">
        <f>+(S30-U30)+S29/U29+S30</f>
        <v>-1.2071005917159763</v>
      </c>
      <c r="X30" s="11" t="s">
        <v>29</v>
      </c>
    </row>
    <row r="31" spans="2:28" ht="15" customHeight="1">
      <c r="B31" s="46" t="str">
        <f>IF(Daten!E17="","",Daten!E17)</f>
        <v>2.W</v>
      </c>
      <c r="C31" s="27" t="str">
        <f>IF(Daten!F17="","",Daten!F17)</f>
        <v>TV FA Altenbochum</v>
      </c>
      <c r="D31" s="30">
        <f>IF(R23="","",R23)</f>
        <v>37</v>
      </c>
      <c r="E31" s="9" t="s">
        <v>27</v>
      </c>
      <c r="F31" s="31">
        <f>IF(P23="","",P23)</f>
        <v>34</v>
      </c>
      <c r="G31" s="30">
        <f>IF(R25="","",R25)</f>
        <v>32</v>
      </c>
      <c r="H31" s="9" t="s">
        <v>27</v>
      </c>
      <c r="I31" s="31">
        <f>IF(P25="","",P25)</f>
        <v>36</v>
      </c>
      <c r="J31" s="30">
        <f>IF(R27="","",R27)</f>
        <v>47</v>
      </c>
      <c r="K31" s="9" t="s">
        <v>27</v>
      </c>
      <c r="L31" s="31">
        <f>IF(P27="","",P27)</f>
        <v>44</v>
      </c>
      <c r="M31" s="30">
        <f>IF(R29="","",R29)</f>
        <v>42</v>
      </c>
      <c r="N31" s="9" t="s">
        <v>27</v>
      </c>
      <c r="O31" s="31">
        <f>IF(P29="","",P29)</f>
        <v>35</v>
      </c>
      <c r="P31" s="91"/>
      <c r="Q31" s="92"/>
      <c r="R31" s="93"/>
      <c r="S31" s="30">
        <f>IF(X32="","",SUM(D31,G31,J31,M31,P31))</f>
        <v>158</v>
      </c>
      <c r="T31" s="9" t="s">
        <v>27</v>
      </c>
      <c r="U31" s="31">
        <f>IF(X32="","",SUM(F31,I31,L31,O31,R31))</f>
        <v>149</v>
      </c>
      <c r="V31" s="6">
        <f>IF(X31="","",RANK(W32,($W$24,$W$26,$W$28,$W$30,$W$32),0))</f>
        <v>2</v>
      </c>
      <c r="X31" s="11" t="s">
        <v>29</v>
      </c>
      <c r="AA31">
        <v>5</v>
      </c>
      <c r="AB31" t="str">
        <f>IF(V31="","",IF($V$23=5,$C$23,IF($V$25=5,$C$25,IF($V$27=5,$C$27,IF($V$29=5,$C$29,IF($V$31=5,$C$31,0))))))</f>
        <v>TV Offenburg</v>
      </c>
    </row>
    <row r="32" spans="2:24" ht="10.5" customHeight="1">
      <c r="B32" s="98"/>
      <c r="C32" s="17"/>
      <c r="D32" s="13">
        <f>IF(D31="","",IF(D31&gt;F31,2,IF(D31&lt;F31,0,1)))</f>
        <v>2</v>
      </c>
      <c r="E32" s="7" t="s">
        <v>28</v>
      </c>
      <c r="F32" s="14">
        <f>IF(F31="","",IF(F31&gt;D31,2,IF(F31&lt;D31,0,1)))</f>
        <v>0</v>
      </c>
      <c r="G32" s="13">
        <f>IF(G31="","",IF(G31&gt;I31,2,IF(G31&lt;I31,0,1)))</f>
        <v>0</v>
      </c>
      <c r="H32" s="7" t="s">
        <v>28</v>
      </c>
      <c r="I32" s="14">
        <f>IF(I31="","",IF(I31&gt;G31,2,IF(I31&lt;G31,0,1)))</f>
        <v>2</v>
      </c>
      <c r="J32" s="13">
        <f>IF(J31="","",IF(J31&gt;L31,2,IF(J31&lt;L31,0,1)))</f>
        <v>2</v>
      </c>
      <c r="K32" s="7" t="s">
        <v>28</v>
      </c>
      <c r="L32" s="14">
        <f>IF(L31="","",IF(L31&gt;J31,2,IF(L31&lt;J31,0,1)))</f>
        <v>0</v>
      </c>
      <c r="M32" s="13">
        <f>IF(M31="","",IF(M31&gt;O31,2,IF(M31&lt;O31,0,1)))</f>
        <v>2</v>
      </c>
      <c r="N32" s="7" t="s">
        <v>28</v>
      </c>
      <c r="O32" s="14">
        <f>IF(O31="","",IF(O31&gt;M31,2,IF(O31&lt;M31,0,1)))</f>
        <v>0</v>
      </c>
      <c r="P32" s="94"/>
      <c r="Q32" s="95"/>
      <c r="R32" s="96"/>
      <c r="S32" s="13">
        <f>IF(X32="","",SUM(D32,G32,J32,M32,P32))</f>
        <v>6</v>
      </c>
      <c r="T32" s="7" t="s">
        <v>28</v>
      </c>
      <c r="U32" s="14">
        <f>IF(X32="","",SUM(F32,I32,L32,O32,R32))</f>
        <v>2</v>
      </c>
      <c r="V32" s="15"/>
      <c r="W32" s="16">
        <f>+(S32-U32)+S31/U31+S32</f>
        <v>11.060402684563758</v>
      </c>
      <c r="X32" s="11" t="s">
        <v>29</v>
      </c>
    </row>
    <row r="33" spans="2:24" ht="9.75" customHeight="1">
      <c r="B33" s="108"/>
      <c r="C33" s="41"/>
      <c r="D33" s="42"/>
      <c r="E33" s="9"/>
      <c r="F33" s="43"/>
      <c r="G33" s="42"/>
      <c r="H33" s="9"/>
      <c r="I33" s="43"/>
      <c r="J33" s="42"/>
      <c r="K33" s="9"/>
      <c r="L33" s="43"/>
      <c r="M33" s="42"/>
      <c r="N33" s="9"/>
      <c r="O33" s="43"/>
      <c r="P33" s="18"/>
      <c r="Q33" s="18"/>
      <c r="R33" s="18"/>
      <c r="S33" s="42"/>
      <c r="T33" s="9"/>
      <c r="U33" s="43"/>
      <c r="V33" s="5"/>
      <c r="W33" s="16"/>
      <c r="X33" s="11"/>
    </row>
    <row r="34" spans="2:24" ht="9.75" customHeight="1" outlineLevel="1">
      <c r="B34" s="103" t="s">
        <v>30</v>
      </c>
      <c r="C34" s="32" t="str">
        <f>+C23</f>
        <v>TV Grohn</v>
      </c>
      <c r="D34" s="33"/>
      <c r="E34" s="142"/>
      <c r="F34" s="34"/>
      <c r="G34" s="35"/>
      <c r="H34" s="36" t="s">
        <v>27</v>
      </c>
      <c r="I34" s="37"/>
      <c r="J34" s="35"/>
      <c r="K34" s="36" t="s">
        <v>27</v>
      </c>
      <c r="L34" s="37"/>
      <c r="M34" s="35"/>
      <c r="N34" s="36" t="s">
        <v>27</v>
      </c>
      <c r="O34" s="37"/>
      <c r="P34" s="38"/>
      <c r="Q34" s="36" t="s">
        <v>27</v>
      </c>
      <c r="R34" s="110"/>
      <c r="S34" s="22"/>
      <c r="T34" s="23"/>
      <c r="U34" s="24"/>
      <c r="V34" s="25"/>
      <c r="W34" s="16"/>
      <c r="X34" s="11"/>
    </row>
    <row r="35" spans="2:24" ht="9.75" customHeight="1" outlineLevel="1">
      <c r="B35" s="21"/>
      <c r="C35" s="32" t="str">
        <f>+C25</f>
        <v>SF Ricklingen</v>
      </c>
      <c r="D35" s="35">
        <f>IF(I34="","",I34)</f>
      </c>
      <c r="E35" s="36" t="s">
        <v>27</v>
      </c>
      <c r="F35" s="37">
        <f>IF(G34="","",G34)</f>
      </c>
      <c r="G35" s="33"/>
      <c r="H35" s="142"/>
      <c r="I35" s="34"/>
      <c r="J35" s="35"/>
      <c r="K35" s="36" t="s">
        <v>27</v>
      </c>
      <c r="L35" s="37"/>
      <c r="M35" s="35"/>
      <c r="N35" s="36" t="s">
        <v>27</v>
      </c>
      <c r="O35" s="37"/>
      <c r="P35" s="38"/>
      <c r="Q35" s="36" t="s">
        <v>27</v>
      </c>
      <c r="R35" s="110"/>
      <c r="S35" s="22"/>
      <c r="T35" s="23"/>
      <c r="U35" s="24"/>
      <c r="V35" s="25"/>
      <c r="W35" s="16"/>
      <c r="X35" s="11"/>
    </row>
    <row r="36" spans="2:24" ht="9.75" customHeight="1" outlineLevel="1">
      <c r="B36" s="21"/>
      <c r="C36" s="32" t="str">
        <f>+C27</f>
        <v>TV Offenburg</v>
      </c>
      <c r="D36" s="35">
        <f>IF(L34="","",L34)</f>
      </c>
      <c r="E36" s="36" t="s">
        <v>27</v>
      </c>
      <c r="F36" s="37">
        <f>IF(J34="","",J34)</f>
      </c>
      <c r="G36" s="35">
        <f>IF(L35="","",L35)</f>
      </c>
      <c r="H36" s="36" t="s">
        <v>27</v>
      </c>
      <c r="I36" s="37">
        <f>IF(J35="","",J35)</f>
      </c>
      <c r="J36" s="33"/>
      <c r="K36" s="142"/>
      <c r="L36" s="34"/>
      <c r="M36" s="35"/>
      <c r="N36" s="36" t="s">
        <v>27</v>
      </c>
      <c r="O36" s="37"/>
      <c r="P36" s="38"/>
      <c r="Q36" s="36" t="s">
        <v>27</v>
      </c>
      <c r="R36" s="110"/>
      <c r="S36" s="22"/>
      <c r="T36" s="23"/>
      <c r="U36" s="24"/>
      <c r="V36" s="25"/>
      <c r="W36" s="16"/>
      <c r="X36" s="11"/>
    </row>
    <row r="37" spans="2:24" ht="9.75" customHeight="1" outlineLevel="1">
      <c r="B37" s="21"/>
      <c r="C37" s="32" t="str">
        <f>+C29</f>
        <v>VT Contwig</v>
      </c>
      <c r="D37" s="35">
        <f>IF(O34="","",O34)</f>
      </c>
      <c r="E37" s="36" t="s">
        <v>27</v>
      </c>
      <c r="F37" s="37">
        <f>IF(M34="","",M34)</f>
      </c>
      <c r="G37" s="35">
        <f>IF(O35="","",O35)</f>
      </c>
      <c r="H37" s="36" t="s">
        <v>27</v>
      </c>
      <c r="I37" s="37">
        <f>IF(M35="","",M35)</f>
      </c>
      <c r="J37" s="35">
        <f>IF(O36="","",O36)</f>
      </c>
      <c r="K37" s="36" t="s">
        <v>27</v>
      </c>
      <c r="L37" s="37">
        <f>IF(M36="","",M36)</f>
      </c>
      <c r="M37" s="33"/>
      <c r="N37" s="142"/>
      <c r="O37" s="34"/>
      <c r="P37" s="38"/>
      <c r="Q37" s="36" t="s">
        <v>27</v>
      </c>
      <c r="R37" s="110"/>
      <c r="S37" s="22"/>
      <c r="T37" s="23"/>
      <c r="U37" s="24"/>
      <c r="V37" s="25"/>
      <c r="W37" s="16"/>
      <c r="X37" s="11"/>
    </row>
    <row r="38" spans="3:18" ht="9.75" customHeight="1" outlineLevel="1">
      <c r="C38" s="32" t="str">
        <f>+C31</f>
        <v>TV FA Altenbochum</v>
      </c>
      <c r="D38" s="35">
        <f>IF(R34="","",R34)</f>
      </c>
      <c r="E38" s="36" t="s">
        <v>27</v>
      </c>
      <c r="F38" s="37">
        <f>IF(P34="","",P34)</f>
      </c>
      <c r="G38" s="35">
        <f>IF(R35="","",R35)</f>
      </c>
      <c r="H38" s="36" t="s">
        <v>27</v>
      </c>
      <c r="I38" s="37">
        <f>IF(P35="","",P35)</f>
      </c>
      <c r="J38" s="35">
        <f>IF(R36="","",R36)</f>
      </c>
      <c r="K38" s="36" t="s">
        <v>27</v>
      </c>
      <c r="L38" s="37">
        <f>IF(P36="","",P36)</f>
      </c>
      <c r="M38" s="35">
        <f>IF(R37="","",R37)</f>
      </c>
      <c r="N38" s="36" t="s">
        <v>27</v>
      </c>
      <c r="O38" s="37">
        <f>IF(P37="","",P37)</f>
      </c>
      <c r="P38" s="33"/>
      <c r="Q38" s="194"/>
      <c r="R38" s="34"/>
    </row>
    <row r="39" ht="18" customHeight="1">
      <c r="B39" s="58" t="s">
        <v>57</v>
      </c>
    </row>
    <row r="40" spans="1:15" ht="17.25" customHeight="1">
      <c r="A40" t="s">
        <v>42</v>
      </c>
      <c r="B40" s="66" t="str">
        <f>"4."&amp;+$C$4&amp;"  5."&amp;+$C$22</f>
        <v>4.Gruppe E  5.Gruppe F</v>
      </c>
      <c r="C40" s="104" t="str">
        <f>IF(M40="","",$AB$11&amp;" : "&amp;$AB$31)</f>
        <v>TSV Kirchdorf : TV Offenburg</v>
      </c>
      <c r="D40" s="64"/>
      <c r="E40" s="64"/>
      <c r="F40" s="64"/>
      <c r="G40" s="64"/>
      <c r="H40" s="65"/>
      <c r="I40" s="69"/>
      <c r="J40" s="80">
        <f>IF('Samstag Haupt'!Q64="","",'Samstag Haupt'!Q64)</f>
        <v>60</v>
      </c>
      <c r="K40" s="67" t="s">
        <v>27</v>
      </c>
      <c r="L40" s="78">
        <f>IF('Samstag Haupt'!S64="","",'Samstag Haupt'!S64)</f>
        <v>61</v>
      </c>
      <c r="M40" s="82" t="s">
        <v>29</v>
      </c>
      <c r="N40" s="68"/>
      <c r="O40" s="56"/>
    </row>
    <row r="41" spans="1:13" ht="4.5" customHeight="1">
      <c r="A41" s="25"/>
      <c r="B41" s="62"/>
      <c r="C41" s="135"/>
      <c r="D41" s="44"/>
      <c r="E41" s="45"/>
      <c r="F41" s="44"/>
      <c r="G41" s="44"/>
      <c r="H41" s="44"/>
      <c r="I41" s="44"/>
      <c r="J41" s="81"/>
      <c r="L41" s="79"/>
      <c r="M41" s="83"/>
    </row>
    <row r="42" spans="1:14" ht="17.25" customHeight="1">
      <c r="A42" t="s">
        <v>43</v>
      </c>
      <c r="B42" s="66" t="str">
        <f>"4."&amp;+$C$22&amp;"  5."&amp;+$C$4</f>
        <v>4.Gruppe F  5.Gruppe E</v>
      </c>
      <c r="C42" s="104" t="str">
        <f>IF(M42="","",$AB$29&amp;" : "&amp;$AB$13)</f>
        <v>VT Contwig : PV Gundernhausen</v>
      </c>
      <c r="D42" s="63"/>
      <c r="E42" s="63"/>
      <c r="F42" s="63"/>
      <c r="G42" s="63"/>
      <c r="H42" s="63"/>
      <c r="I42" s="20"/>
      <c r="J42" s="80">
        <f>IF('Samstag Haupt'!Q65="","",'Samstag Haupt'!Q65)</f>
        <v>40</v>
      </c>
      <c r="K42" s="67" t="s">
        <v>27</v>
      </c>
      <c r="L42" s="78">
        <f>IF('Samstag Haupt'!S65="","",'Samstag Haupt'!S65)</f>
        <v>37</v>
      </c>
      <c r="M42" s="82" t="s">
        <v>29</v>
      </c>
      <c r="N42" s="68"/>
    </row>
    <row r="43" spans="2:22" ht="18" customHeight="1">
      <c r="B43" s="59" t="s">
        <v>58</v>
      </c>
      <c r="C43" s="136"/>
      <c r="D43" s="44"/>
      <c r="E43" s="45"/>
      <c r="F43" s="44"/>
      <c r="G43" s="44"/>
      <c r="H43" s="44"/>
      <c r="I43" s="44"/>
      <c r="J43" s="81"/>
      <c r="L43" s="79"/>
      <c r="M43" s="83"/>
      <c r="P43" s="25"/>
      <c r="Q43" s="25"/>
      <c r="R43" s="25"/>
      <c r="S43" s="25"/>
      <c r="T43" s="25"/>
      <c r="U43" s="25"/>
      <c r="V43" s="25"/>
    </row>
    <row r="44" spans="2:22" ht="17.25" customHeight="1">
      <c r="B44" s="73" t="str">
        <f>"V."&amp;A40&amp;"/"&amp;A42&amp;"      9./10. Pl."</f>
        <v>V.a/b      9./10. Pl.</v>
      </c>
      <c r="C44" s="137" t="str">
        <f>IF(M44="","",'Samstag Haupt'!H68&amp;" : "&amp;'Samstag Haupt'!L68)</f>
        <v>TSV Kirchdorf : PV Gundernhausen</v>
      </c>
      <c r="D44" s="63"/>
      <c r="E44" s="63"/>
      <c r="F44" s="63"/>
      <c r="G44" s="63"/>
      <c r="H44" s="63"/>
      <c r="I44" s="20"/>
      <c r="J44" s="80">
        <f>IF('Samstag Haupt'!Q68="","",'Samstag Haupt'!Q68)</f>
        <v>38</v>
      </c>
      <c r="K44" s="67" t="s">
        <v>27</v>
      </c>
      <c r="L44" s="78">
        <f>IF('Samstag Haupt'!S68="","",'Samstag Haupt'!S68)</f>
        <v>45</v>
      </c>
      <c r="M44" s="83" t="s">
        <v>29</v>
      </c>
      <c r="O44" s="40" t="s">
        <v>31</v>
      </c>
      <c r="P44" s="72"/>
      <c r="Q44" s="72"/>
      <c r="R44" s="72"/>
      <c r="S44" s="72"/>
      <c r="T44" s="72"/>
      <c r="U44" s="72"/>
      <c r="V44" s="72"/>
    </row>
    <row r="45" spans="2:22" ht="4.5" customHeight="1">
      <c r="B45" s="53"/>
      <c r="C45" s="136"/>
      <c r="D45" s="44"/>
      <c r="E45" s="44"/>
      <c r="F45" s="44"/>
      <c r="G45" s="44"/>
      <c r="H45" s="45"/>
      <c r="I45" s="44"/>
      <c r="J45" s="81"/>
      <c r="L45" s="79"/>
      <c r="M45" s="83"/>
      <c r="P45" s="25"/>
      <c r="Q45" s="25"/>
      <c r="R45" s="25"/>
      <c r="S45" s="25"/>
      <c r="T45" s="25"/>
      <c r="U45" s="25"/>
      <c r="V45" s="25"/>
    </row>
    <row r="46" spans="2:22" ht="17.25" customHeight="1">
      <c r="B46" s="73" t="str">
        <f>"S."&amp;A40&amp;"/"&amp;A42&amp;"      7./8. Pl."</f>
        <v>S.a/b      7./8. Pl.</v>
      </c>
      <c r="C46" s="137" t="str">
        <f>IF(M46="","",'Samstag Haupt'!H69&amp;" : "&amp;'Samstag Haupt'!L69)</f>
        <v>TV Offenburg : VT Contwig</v>
      </c>
      <c r="D46" s="64"/>
      <c r="E46" s="65"/>
      <c r="F46" s="64"/>
      <c r="G46" s="64"/>
      <c r="H46" s="64"/>
      <c r="I46" s="69"/>
      <c r="J46" s="80">
        <f>IF('Samstag Haupt'!Q69="","",'Samstag Haupt'!Q69)</f>
        <v>34</v>
      </c>
      <c r="K46" s="67" t="s">
        <v>27</v>
      </c>
      <c r="L46" s="78">
        <f>IF('Samstag Haupt'!S69="","",'Samstag Haupt'!S69)</f>
        <v>40</v>
      </c>
      <c r="M46" s="83" t="s">
        <v>29</v>
      </c>
      <c r="O46" s="131">
        <v>1</v>
      </c>
      <c r="P46" s="132" t="str">
        <f>" "&amp;IF(J60="","",IF(Sonntag!Q60&gt;Sonntag!S60,Sonntag!H60,Sonntag!L60))</f>
        <v> SF Ricklingen</v>
      </c>
      <c r="Q46" s="132"/>
      <c r="R46" s="132"/>
      <c r="S46" s="132"/>
      <c r="T46" s="132"/>
      <c r="U46" s="132"/>
      <c r="V46" s="133"/>
    </row>
    <row r="47" spans="2:22" ht="18" customHeight="1">
      <c r="B47" s="59" t="s">
        <v>32</v>
      </c>
      <c r="C47" s="136"/>
      <c r="D47" s="44"/>
      <c r="E47" s="44"/>
      <c r="F47" s="44"/>
      <c r="G47" s="44"/>
      <c r="H47" s="45"/>
      <c r="I47" s="44"/>
      <c r="J47" s="81"/>
      <c r="L47" s="79"/>
      <c r="M47" s="83"/>
      <c r="O47" s="84">
        <v>2</v>
      </c>
      <c r="P47" s="102" t="str">
        <f>" "&amp;IF(J60="","",IF(Sonntag!Q60&lt;Sonntag!S60,Sonntag!H60,Sonntag!L60))</f>
        <v> TuS Ferndorf</v>
      </c>
      <c r="Q47" s="56"/>
      <c r="R47" s="56"/>
      <c r="S47" s="56"/>
      <c r="T47" s="56"/>
      <c r="U47" s="56"/>
      <c r="V47" s="74"/>
    </row>
    <row r="48" spans="1:22" ht="17.25" customHeight="1">
      <c r="A48" t="s">
        <v>33</v>
      </c>
      <c r="B48" s="66" t="str">
        <f>"2."&amp;+$C$4&amp;"  3."&amp;+$C$22</f>
        <v>2.Gruppe E  3.Gruppe F</v>
      </c>
      <c r="C48" s="104" t="str">
        <f>IF(M48="","",$AB$7&amp;" : "&amp;$AB$27)</f>
        <v>TV Wertheim : TV Grohn</v>
      </c>
      <c r="D48" s="64"/>
      <c r="E48" s="65"/>
      <c r="F48" s="64"/>
      <c r="G48" s="64"/>
      <c r="H48" s="64"/>
      <c r="I48" s="69"/>
      <c r="J48" s="80">
        <f>IF(Sonntag!Q28="","",Sonntag!Q28)</f>
        <v>41</v>
      </c>
      <c r="K48" s="67" t="s">
        <v>27</v>
      </c>
      <c r="L48" s="78">
        <f>IF(Sonntag!S28="","",Sonntag!S28)</f>
        <v>32</v>
      </c>
      <c r="M48" s="83" t="s">
        <v>29</v>
      </c>
      <c r="O48" s="84">
        <v>3</v>
      </c>
      <c r="P48" s="86" t="str">
        <f>" "&amp;IF(J58="","",IF(Sonntag!Q53&gt;Sonntag!S53,Sonntag!H53,Sonntag!L53))</f>
        <v> TV Viersen</v>
      </c>
      <c r="Q48" s="56"/>
      <c r="R48" s="56"/>
      <c r="S48" s="56"/>
      <c r="T48" s="56"/>
      <c r="U48" s="56"/>
      <c r="V48" s="74"/>
    </row>
    <row r="49" spans="2:22" ht="4.5" customHeight="1">
      <c r="B49" s="44"/>
      <c r="C49" s="136"/>
      <c r="D49" s="44"/>
      <c r="E49" s="44"/>
      <c r="F49" s="44"/>
      <c r="G49" s="44"/>
      <c r="H49" s="44"/>
      <c r="I49" s="44"/>
      <c r="J49" s="81"/>
      <c r="L49" s="79"/>
      <c r="M49" s="83"/>
      <c r="O49" s="84"/>
      <c r="P49" s="56"/>
      <c r="Q49" s="56"/>
      <c r="R49" s="56"/>
      <c r="S49" s="56"/>
      <c r="T49" s="56"/>
      <c r="U49" s="56"/>
      <c r="V49" s="74"/>
    </row>
    <row r="50" spans="1:22" ht="17.25" customHeight="1">
      <c r="A50" t="s">
        <v>34</v>
      </c>
      <c r="B50" s="66" t="str">
        <f>"2."&amp;+$C$22&amp;"  3."&amp;+$C$4</f>
        <v>2.Gruppe F  3.Gruppe E</v>
      </c>
      <c r="C50" s="104" t="str">
        <f>IF(M50="","",$AB$25&amp;" : "&amp;$AB$9)</f>
        <v>TV FA Altenbochum : TSV Burgdorf</v>
      </c>
      <c r="D50" s="64"/>
      <c r="E50" s="64"/>
      <c r="F50" s="64"/>
      <c r="G50" s="64"/>
      <c r="H50" s="65"/>
      <c r="I50" s="69"/>
      <c r="J50" s="80">
        <f>IF(Sonntag!Q29="","",Sonntag!Q29)</f>
        <v>41</v>
      </c>
      <c r="K50" s="67" t="s">
        <v>27</v>
      </c>
      <c r="L50" s="78">
        <f>IF(Sonntag!S29="","",Sonntag!S29)</f>
        <v>34</v>
      </c>
      <c r="M50" s="83" t="s">
        <v>29</v>
      </c>
      <c r="O50" s="84">
        <v>4</v>
      </c>
      <c r="P50" s="86" t="str">
        <f>" "&amp;IF(J58="","",IF(Sonntag!Q53&lt;Sonntag!S53,Sonntag!H53,Sonntag!L53))</f>
        <v> SV Werder Bremen</v>
      </c>
      <c r="Q50" s="56"/>
      <c r="R50" s="56"/>
      <c r="S50" s="56"/>
      <c r="T50" s="56"/>
      <c r="U50" s="56"/>
      <c r="V50" s="74"/>
    </row>
    <row r="51" spans="2:22" ht="18" customHeight="1">
      <c r="B51" s="59" t="s">
        <v>35</v>
      </c>
      <c r="C51" s="136"/>
      <c r="D51" s="44"/>
      <c r="E51" s="44"/>
      <c r="F51" s="44"/>
      <c r="G51" s="44"/>
      <c r="H51" s="44"/>
      <c r="I51" s="44"/>
      <c r="J51" s="81"/>
      <c r="L51" s="79"/>
      <c r="M51" s="83"/>
      <c r="O51" s="84">
        <v>5</v>
      </c>
      <c r="P51" s="86" t="str">
        <f>" "&amp;IF(J56="","",IF(Sonntag!Q47&gt;Sonntag!S47,Sonntag!H47,Sonntag!L47))</f>
        <v> TSV Krumbach</v>
      </c>
      <c r="Q51" s="56"/>
      <c r="R51" s="56"/>
      <c r="S51" s="56"/>
      <c r="T51" s="56"/>
      <c r="U51" s="56"/>
      <c r="V51" s="74"/>
    </row>
    <row r="52" spans="1:22" ht="17.25" customHeight="1">
      <c r="A52" t="s">
        <v>36</v>
      </c>
      <c r="B52" s="66" t="str">
        <f>"1."&amp;+$C$4&amp;"  Sieger "&amp;+$A$50</f>
        <v>1.Gruppe E  Sieger d</v>
      </c>
      <c r="C52" s="137" t="str">
        <f>IF(M52="","",$AB$5&amp;" : "&amp;Sonntag!L36)</f>
        <v>TV Berkenbaum : TuS Ferndorf</v>
      </c>
      <c r="D52" s="64"/>
      <c r="E52" s="64"/>
      <c r="F52" s="64"/>
      <c r="G52" s="64"/>
      <c r="H52" s="65"/>
      <c r="I52" s="69"/>
      <c r="J52" s="80">
        <f>IF(Sonntag!Q40="","",Sonntag!Q40)</f>
        <v>31</v>
      </c>
      <c r="K52" s="67" t="s">
        <v>27</v>
      </c>
      <c r="L52" s="78">
        <f>IF(Sonntag!S40="","",Sonntag!S40)</f>
        <v>38</v>
      </c>
      <c r="M52" s="83" t="s">
        <v>29</v>
      </c>
      <c r="O52" s="84">
        <v>6</v>
      </c>
      <c r="P52" s="86" t="str">
        <f>" "&amp;IF(J56="","",IF(Sonntag!Q47&lt;Sonntag!S47,Sonntag!H47,Sonntag!L47))</f>
        <v> VT Contwig</v>
      </c>
      <c r="Q52" s="56"/>
      <c r="R52" s="56"/>
      <c r="S52" s="56"/>
      <c r="T52" s="56"/>
      <c r="U52" s="56"/>
      <c r="V52" s="74"/>
    </row>
    <row r="53" spans="2:22" ht="4.5" customHeight="1">
      <c r="B53" s="45"/>
      <c r="C53" s="136"/>
      <c r="D53" s="44"/>
      <c r="E53" s="45"/>
      <c r="F53" s="44"/>
      <c r="G53" s="44"/>
      <c r="H53" s="44"/>
      <c r="I53" s="44"/>
      <c r="J53" s="81"/>
      <c r="L53" s="79"/>
      <c r="M53" s="83"/>
      <c r="O53" s="84"/>
      <c r="P53" s="56"/>
      <c r="Q53" s="56"/>
      <c r="R53" s="56"/>
      <c r="S53" s="56"/>
      <c r="T53" s="56"/>
      <c r="U53" s="56"/>
      <c r="V53" s="74"/>
    </row>
    <row r="54" spans="1:22" ht="17.25" customHeight="1">
      <c r="A54" t="s">
        <v>37</v>
      </c>
      <c r="B54" s="66" t="str">
        <f>"1."&amp;+$C$22&amp;"  Sieger "&amp;+$A$48</f>
        <v>1.Gruppe F  Sieger c</v>
      </c>
      <c r="C54" s="137" t="str">
        <f>IF(M54="","",$AB$23&amp;" : "&amp;Sonntag!L37)</f>
        <v>SF Ricklingen : SF Ricklingen</v>
      </c>
      <c r="D54" s="64"/>
      <c r="E54" s="64"/>
      <c r="F54" s="64"/>
      <c r="G54" s="64"/>
      <c r="H54" s="64"/>
      <c r="I54" s="69"/>
      <c r="J54" s="80">
        <f>IF(Sonntag!Q41="","",Sonntag!Q41)</f>
        <v>35</v>
      </c>
      <c r="K54" s="67" t="s">
        <v>27</v>
      </c>
      <c r="L54" s="78">
        <f>IF(Sonntag!S41="","",Sonntag!S41)</f>
        <v>28</v>
      </c>
      <c r="M54" s="83" t="s">
        <v>29</v>
      </c>
      <c r="O54" s="84">
        <v>7</v>
      </c>
      <c r="P54" s="86" t="str">
        <f>" "&amp;IF(J46="","",IF('Samstag Haupt'!Q69&gt;'Samstag Haupt'!S69,'Samstag Haupt'!H69,'Samstag Haupt'!L69))</f>
        <v> VT Contwig</v>
      </c>
      <c r="Q54" s="56"/>
      <c r="R54" s="56"/>
      <c r="S54" s="56"/>
      <c r="T54" s="56"/>
      <c r="U54" s="56"/>
      <c r="V54" s="74"/>
    </row>
    <row r="55" spans="2:22" ht="18" customHeight="1">
      <c r="B55" s="60" t="s">
        <v>38</v>
      </c>
      <c r="C55" s="136"/>
      <c r="D55" s="44"/>
      <c r="E55" s="45"/>
      <c r="F55" s="44"/>
      <c r="G55" s="44"/>
      <c r="H55" s="44"/>
      <c r="I55" s="44"/>
      <c r="J55" s="81"/>
      <c r="L55" s="79"/>
      <c r="M55" s="83"/>
      <c r="O55" s="84">
        <v>8</v>
      </c>
      <c r="P55" s="86" t="str">
        <f>" "&amp;IF(J46="","",IF('Samstag Haupt'!Q69&lt;'Samstag Haupt'!S69,'Samstag Haupt'!H69,'Samstag Haupt'!L69))</f>
        <v> TV Offenburg</v>
      </c>
      <c r="Q55" s="56"/>
      <c r="R55" s="56"/>
      <c r="S55" s="56"/>
      <c r="T55" s="56"/>
      <c r="U55" s="56"/>
      <c r="V55" s="74"/>
    </row>
    <row r="56" spans="2:22" ht="17.25" customHeight="1">
      <c r="B56" s="73" t="str">
        <f>"V."&amp;A48&amp;"/"&amp;A50&amp;"         5./6. Pl."</f>
        <v>V.c/d         5./6. Pl.</v>
      </c>
      <c r="C56" s="137" t="str">
        <f>IF(M56="","",IF(J48="","",Sonntag!H47)&amp;" : "&amp;IF(J50="","",Sonntag!L47))</f>
        <v>VT Contwig : TSV Krumbach</v>
      </c>
      <c r="D56" s="64"/>
      <c r="E56" s="64"/>
      <c r="F56" s="64"/>
      <c r="G56" s="64"/>
      <c r="H56" s="64"/>
      <c r="I56" s="69"/>
      <c r="J56" s="80">
        <f>IF(Sonntag!Q49="","",Sonntag!Q49)</f>
        <v>37</v>
      </c>
      <c r="K56" s="67" t="s">
        <v>27</v>
      </c>
      <c r="L56" s="78">
        <f>IF(Sonntag!S49="","",Sonntag!S49)</f>
        <v>39</v>
      </c>
      <c r="M56" s="83" t="s">
        <v>29</v>
      </c>
      <c r="O56" s="84">
        <v>9</v>
      </c>
      <c r="P56" s="86" t="str">
        <f>" "&amp;IF(J44="","",IF('Samstag Haupt'!Q68&gt;'Samstag Haupt'!S68,'Samstag Haupt'!H68,'Samstag Haupt'!L68))</f>
        <v> PV Gundernhausen</v>
      </c>
      <c r="Q56" s="56"/>
      <c r="R56" s="56"/>
      <c r="S56" s="56"/>
      <c r="T56" s="56"/>
      <c r="U56" s="56"/>
      <c r="V56" s="74"/>
    </row>
    <row r="57" spans="2:22" ht="4.5" customHeight="1">
      <c r="B57" s="44"/>
      <c r="C57" s="136"/>
      <c r="D57" s="44"/>
      <c r="E57" s="44"/>
      <c r="F57" s="44"/>
      <c r="G57" s="44"/>
      <c r="H57" s="45"/>
      <c r="I57" s="44"/>
      <c r="J57" s="81"/>
      <c r="L57" s="79"/>
      <c r="M57" s="83"/>
      <c r="O57" s="84"/>
      <c r="P57" s="56"/>
      <c r="Q57" s="56"/>
      <c r="R57" s="56"/>
      <c r="S57" s="56"/>
      <c r="T57" s="56"/>
      <c r="U57" s="56"/>
      <c r="V57" s="74"/>
    </row>
    <row r="58" spans="2:22" ht="17.25" customHeight="1">
      <c r="B58" s="73" t="str">
        <f>"V."&amp;A52&amp;"/"&amp;A54&amp;"         3./4. Pl."</f>
        <v>V.e/f         3./4. Pl.</v>
      </c>
      <c r="C58" s="137" t="str">
        <f>IF(M58="","",IF(J52="","",Sonntag!H53)&amp;" : "&amp;IF(J54="","",Sonntag!L53))</f>
        <v>TV Viersen : SV Werder Bremen</v>
      </c>
      <c r="D58" s="64"/>
      <c r="E58" s="65"/>
      <c r="F58" s="64"/>
      <c r="G58" s="64"/>
      <c r="H58" s="64"/>
      <c r="I58" s="69"/>
      <c r="J58" s="80">
        <f>IF(Sonntag!Q55="","",Sonntag!Q55)</f>
        <v>32</v>
      </c>
      <c r="K58" s="67" t="s">
        <v>27</v>
      </c>
      <c r="L58" s="78">
        <f>IF(Sonntag!S55="","",Sonntag!S55)</f>
        <v>38</v>
      </c>
      <c r="M58" s="83" t="s">
        <v>29</v>
      </c>
      <c r="O58" s="85">
        <v>10</v>
      </c>
      <c r="P58" s="87" t="str">
        <f>" "&amp;IF(J44="","",IF('Samstag Haupt'!Q68&lt;'Samstag Haupt'!S68,'Samstag Haupt'!H68,'Samstag Haupt'!L68))</f>
        <v> TSV Kirchdorf</v>
      </c>
      <c r="Q58" s="75"/>
      <c r="R58" s="75"/>
      <c r="S58" s="75"/>
      <c r="T58" s="75"/>
      <c r="U58" s="75"/>
      <c r="V58" s="76"/>
    </row>
    <row r="59" spans="2:13" ht="18" customHeight="1">
      <c r="B59" s="70" t="s">
        <v>39</v>
      </c>
      <c r="C59" s="135"/>
      <c r="D59" s="44"/>
      <c r="E59" s="44"/>
      <c r="F59" s="44"/>
      <c r="G59" s="25"/>
      <c r="H59" s="71"/>
      <c r="I59" s="25"/>
      <c r="J59" s="81"/>
      <c r="L59" s="79"/>
      <c r="M59" s="83"/>
    </row>
    <row r="60" spans="2:13" ht="17.25" customHeight="1">
      <c r="B60" s="73" t="str">
        <f>"S."&amp;A52&amp;"/"&amp;A54&amp;"         1./2. Pl."</f>
        <v>S.e/f         1./2. Pl.</v>
      </c>
      <c r="C60" s="137" t="str">
        <f>IF(M60="","",IF(J52="","",Sonntag!H60)&amp;" : "&amp;IF(J54="","",Sonntag!L60))</f>
        <v>TuS Ferndorf : SF Ricklingen</v>
      </c>
      <c r="D60" s="63"/>
      <c r="E60" s="77"/>
      <c r="F60" s="63"/>
      <c r="G60" s="64"/>
      <c r="H60" s="64"/>
      <c r="I60" s="69"/>
      <c r="J60" s="80">
        <f>IF(Sonntag!Q64="","",Sonntag!Q64)</f>
        <v>39</v>
      </c>
      <c r="K60" s="67" t="s">
        <v>27</v>
      </c>
      <c r="L60" s="78">
        <f>IF(Sonntag!S64="","",Sonntag!S64)</f>
        <v>35</v>
      </c>
      <c r="M60" s="83" t="s">
        <v>29</v>
      </c>
    </row>
  </sheetData>
  <printOptions/>
  <pageMargins left="0.35433070866141736" right="0.35433070866141736" top="0.1968503937007874" bottom="0.3937007874015748" header="0.5118110236220472" footer="0.5118110236220472"/>
  <pageSetup horizontalDpi="300" verticalDpi="300" orientation="portrait" paperSize="9" r:id="rId3"/>
  <headerFooter alignWithMargins="0">
    <oddFooter>&amp;R&amp;6&amp;D; &amp;F;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3"/>
  <sheetViews>
    <sheetView workbookViewId="0" topLeftCell="B2">
      <selection activeCell="Q22" sqref="Q22:S69"/>
    </sheetView>
  </sheetViews>
  <sheetFormatPr defaultColWidth="11.421875" defaultRowHeight="12.75" outlineLevelRow="1" outlineLevelCol="1"/>
  <cols>
    <col min="1" max="1" width="3.00390625" style="144" hidden="1" customWidth="1" outlineLevel="1"/>
    <col min="2" max="2" width="3.7109375" style="144" customWidth="1" collapsed="1"/>
    <col min="3" max="3" width="4.8515625" style="144" customWidth="1"/>
    <col min="4" max="4" width="3.28125" style="144" customWidth="1"/>
    <col min="5" max="5" width="4.140625" style="144" customWidth="1"/>
    <col min="6" max="6" width="3.140625" style="144" customWidth="1"/>
    <col min="7" max="7" width="2.7109375" style="144" hidden="1" customWidth="1" outlineLevel="1"/>
    <col min="8" max="8" width="17.7109375" style="144" customWidth="1" collapsed="1"/>
    <col min="9" max="9" width="1.421875" style="144" customWidth="1"/>
    <col min="10" max="10" width="3.140625" style="144" customWidth="1"/>
    <col min="11" max="11" width="2.7109375" style="144" hidden="1" customWidth="1" outlineLevel="1"/>
    <col min="12" max="12" width="17.7109375" style="144" customWidth="1" collapsed="1"/>
    <col min="13" max="13" width="3.140625" style="144" customWidth="1"/>
    <col min="14" max="14" width="2.7109375" style="144" hidden="1" customWidth="1" outlineLevel="1"/>
    <col min="15" max="15" width="17.7109375" style="144" customWidth="1" collapsed="1"/>
    <col min="16" max="16" width="4.8515625" style="146" customWidth="1" outlineLevel="1"/>
    <col min="17" max="17" width="2.7109375" style="144" customWidth="1" outlineLevel="1"/>
    <col min="18" max="18" width="1.421875" style="144" customWidth="1" outlineLevel="1"/>
    <col min="19" max="20" width="2.7109375" style="144" customWidth="1" outlineLevel="1"/>
    <col min="21" max="21" width="1.421875" style="144" customWidth="1" outlineLevel="1"/>
    <col min="22" max="22" width="2.7109375" style="144" customWidth="1" outlineLevel="1"/>
    <col min="23" max="23" width="0.71875" style="144" customWidth="1"/>
    <col min="24" max="25" width="8.28125" style="144" customWidth="1" outlineLevel="1"/>
    <col min="26" max="26" width="1.8515625" style="145" customWidth="1"/>
    <col min="27" max="27" width="7.00390625" style="144" bestFit="1" customWidth="1"/>
    <col min="28" max="28" width="2.7109375" style="144" bestFit="1" customWidth="1"/>
    <col min="29" max="29" width="11.421875" style="145" customWidth="1"/>
    <col min="30" max="16384" width="11.421875" style="144" customWidth="1"/>
  </cols>
  <sheetData>
    <row r="1" spans="2:29" s="190" customFormat="1" ht="18.75" customHeight="1">
      <c r="B1" s="178" t="str">
        <f>Daten!A1&amp;" "&amp;Daten!B1&amp;" "&amp;Daten!L1</f>
        <v>43. Deutsche Prellball Meisterschaften der Seniorinnen und Senioren 2006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  <c r="Q1" s="191"/>
      <c r="R1" s="191"/>
      <c r="S1" s="191"/>
      <c r="T1" s="191"/>
      <c r="U1" s="191"/>
      <c r="V1" s="191"/>
      <c r="W1" s="191"/>
      <c r="X1" s="191"/>
      <c r="Y1" s="191"/>
      <c r="AC1" s="181"/>
    </row>
    <row r="2" spans="3:29" s="177" customFormat="1" ht="19.5" customHeight="1">
      <c r="C2" s="187" t="s">
        <v>75</v>
      </c>
      <c r="H2" s="195" t="str">
        <f>+Daten!A32</f>
        <v>29.04.2006</v>
      </c>
      <c r="L2" s="201" t="str">
        <f>+Daten!O35</f>
        <v>Astrid-Lindgren Hauptschule, Grünewaldstr. 1</v>
      </c>
      <c r="P2" s="188"/>
      <c r="Z2" s="181"/>
      <c r="AC2" s="181"/>
    </row>
    <row r="3" spans="1:29" ht="12.75" hidden="1" outlineLevel="1">
      <c r="A3" s="145"/>
      <c r="B3" s="145" t="s">
        <v>19</v>
      </c>
      <c r="C3" s="145"/>
      <c r="D3" s="145"/>
      <c r="E3" s="145"/>
      <c r="F3" s="145"/>
      <c r="G3" s="145"/>
      <c r="H3" s="145" t="s">
        <v>21</v>
      </c>
      <c r="I3" s="145"/>
      <c r="J3" s="145"/>
      <c r="K3" s="145"/>
      <c r="L3" s="145" t="s">
        <v>22</v>
      </c>
      <c r="M3" s="145"/>
      <c r="N3" s="145"/>
      <c r="O3" s="145" t="s">
        <v>20</v>
      </c>
      <c r="P3" s="147" t="s">
        <v>69</v>
      </c>
      <c r="Q3" s="145"/>
      <c r="R3" s="145"/>
      <c r="S3" s="145"/>
      <c r="T3" s="145"/>
      <c r="U3" s="145"/>
      <c r="V3" s="145"/>
      <c r="W3" s="145"/>
      <c r="X3" s="145" t="s">
        <v>23</v>
      </c>
      <c r="Y3" s="145"/>
      <c r="AA3" s="145" t="s">
        <v>101</v>
      </c>
      <c r="AB3" s="145"/>
      <c r="AC3" s="145" t="s">
        <v>106</v>
      </c>
    </row>
    <row r="4" spans="1:29" ht="12.75" hidden="1" outlineLevel="1">
      <c r="A4" s="145">
        <v>1</v>
      </c>
      <c r="B4" s="145" t="str">
        <f>IF(Daten!C5="","",Daten!C5)</f>
        <v>TV Kleefeld</v>
      </c>
      <c r="C4" s="145"/>
      <c r="D4" s="145"/>
      <c r="E4" s="145"/>
      <c r="F4" s="145"/>
      <c r="G4" s="145"/>
      <c r="H4" s="145" t="str">
        <f>IF(Daten!C13="","",Daten!C13)</f>
        <v>TSV Burgdorf</v>
      </c>
      <c r="I4" s="145"/>
      <c r="J4" s="145"/>
      <c r="K4" s="145"/>
      <c r="L4" s="145" t="str">
        <f>IF(Daten!I5="","",Daten!I5)</f>
        <v>VfL Oldenburg</v>
      </c>
      <c r="M4" s="145"/>
      <c r="N4" s="145"/>
      <c r="O4" s="145" t="str">
        <f>IF(Daten!I13="","",Daten!I13)</f>
        <v>VfK 1901 Berlin</v>
      </c>
      <c r="P4" s="147" t="str">
        <f>IF(Daten!I21="","",Daten!I21)</f>
        <v>VfL Oldenburg</v>
      </c>
      <c r="Q4" s="145"/>
      <c r="R4" s="145"/>
      <c r="S4" s="145"/>
      <c r="T4" s="145"/>
      <c r="U4" s="145"/>
      <c r="V4" s="145"/>
      <c r="W4" s="145"/>
      <c r="X4" s="145" t="str">
        <f>IF(Daten!C21="","",Daten!C21)</f>
        <v>SC Wentorf</v>
      </c>
      <c r="Y4" s="145"/>
      <c r="AA4" s="145" t="str">
        <f>+'Männer 60'!AB5</f>
        <v>Eiserfelder TV</v>
      </c>
      <c r="AB4" s="145"/>
      <c r="AC4" s="145" t="str">
        <f>+'Männer 50'!AB5</f>
        <v>TV Viersen</v>
      </c>
    </row>
    <row r="5" spans="1:29" ht="12.75" hidden="1" outlineLevel="1">
      <c r="A5" s="145">
        <v>2</v>
      </c>
      <c r="B5" s="145" t="str">
        <f>IF(Daten!C6="","",Daten!C6)</f>
        <v>SV Werder Bremen</v>
      </c>
      <c r="C5" s="145"/>
      <c r="D5" s="145"/>
      <c r="E5" s="145"/>
      <c r="F5" s="145"/>
      <c r="G5" s="145"/>
      <c r="H5" s="145" t="str">
        <f>IF(Daten!C14="","",Daten!C14)</f>
        <v>TSV Kirchdorf</v>
      </c>
      <c r="I5" s="145"/>
      <c r="J5" s="145"/>
      <c r="K5" s="145"/>
      <c r="L5" s="145" t="str">
        <f>IF(Daten!I6="","",Daten!I6)</f>
        <v>MTV Itzehoe</v>
      </c>
      <c r="M5" s="145"/>
      <c r="N5" s="145"/>
      <c r="O5" s="145" t="str">
        <f>IF(Daten!I14="","",Daten!I14)</f>
        <v>MTV Eiche Schönebeck</v>
      </c>
      <c r="P5" s="147" t="str">
        <f>IF(Daten!I22="","",Daten!I22)</f>
        <v>TV Bremen 1875</v>
      </c>
      <c r="Q5" s="145"/>
      <c r="R5" s="145"/>
      <c r="S5" s="145"/>
      <c r="T5" s="145"/>
      <c r="U5" s="145"/>
      <c r="V5" s="145"/>
      <c r="W5" s="145"/>
      <c r="X5" s="145" t="str">
        <f>IF(Daten!C22="","",Daten!C22)</f>
        <v>SF Ricklingen</v>
      </c>
      <c r="Y5" s="145"/>
      <c r="AA5" s="145" t="str">
        <f>+'Männer 60'!AB7</f>
        <v>TSV Bayer Leverkusen</v>
      </c>
      <c r="AB5" s="145"/>
      <c r="AC5" s="145" t="str">
        <f>+'Männer 50'!AB7</f>
        <v>SF Ricklingen</v>
      </c>
    </row>
    <row r="6" spans="1:29" ht="12.75" hidden="1" outlineLevel="1">
      <c r="A6" s="145">
        <v>3</v>
      </c>
      <c r="B6" s="145" t="str">
        <f>IF(Daten!C7="","",Daten!C7)</f>
        <v>TB Hückeswagen</v>
      </c>
      <c r="C6" s="145"/>
      <c r="D6" s="145"/>
      <c r="E6" s="145"/>
      <c r="F6" s="145"/>
      <c r="G6" s="145"/>
      <c r="H6" s="145" t="str">
        <f>IF(Daten!C15="","",Daten!C15)</f>
        <v>PV Gundernhausen</v>
      </c>
      <c r="I6" s="145"/>
      <c r="J6" s="145"/>
      <c r="K6" s="145"/>
      <c r="L6" s="145" t="str">
        <f>IF(Daten!I7="","",Daten!I7)</f>
        <v>TV Berkenbaum</v>
      </c>
      <c r="M6" s="145"/>
      <c r="N6" s="145"/>
      <c r="O6" s="145" t="str">
        <f>IF(Daten!I15="","",Daten!I15)</f>
        <v>3. West</v>
      </c>
      <c r="P6" s="147" t="str">
        <f>IF(Daten!I23="","",Daten!I23)</f>
        <v>Eiserfelder TV</v>
      </c>
      <c r="Q6" s="145"/>
      <c r="R6" s="145"/>
      <c r="S6" s="145"/>
      <c r="T6" s="145"/>
      <c r="U6" s="145"/>
      <c r="V6" s="145"/>
      <c r="W6" s="145"/>
      <c r="X6" s="145" t="str">
        <f>IF(Daten!C23="","",Daten!C23)</f>
        <v>Haaner TB</v>
      </c>
      <c r="Y6" s="145"/>
      <c r="AA6" s="145" t="str">
        <f>+'Männer 60'!AB9</f>
        <v>TV Bremen 1875</v>
      </c>
      <c r="AB6" s="145"/>
      <c r="AC6" s="145" t="str">
        <f>+'Männer 50'!AB9</f>
        <v>TSV Krumbach</v>
      </c>
    </row>
    <row r="7" spans="1:29" ht="12.75" hidden="1" outlineLevel="1">
      <c r="A7" s="145">
        <v>4</v>
      </c>
      <c r="B7" s="145" t="str">
        <f>IF(Daten!C8="","",Daten!C8)</f>
        <v>TV Kierdorf</v>
      </c>
      <c r="C7" s="145"/>
      <c r="D7" s="145"/>
      <c r="E7" s="145"/>
      <c r="F7" s="145"/>
      <c r="G7" s="145"/>
      <c r="H7" s="145" t="str">
        <f>IF(Daten!C16="","",Daten!C16)</f>
        <v>TV Berkenbaum</v>
      </c>
      <c r="I7" s="145"/>
      <c r="J7" s="145"/>
      <c r="K7" s="145"/>
      <c r="L7" s="145" t="str">
        <f>IF(Daten!I8="","",Daten!I8)</f>
        <v>Barmer TG</v>
      </c>
      <c r="M7" s="145"/>
      <c r="N7" s="145"/>
      <c r="O7" s="145" t="str">
        <f>IF(Daten!I16="","",Daten!I16)</f>
        <v>TSV Radevormwald</v>
      </c>
      <c r="P7" s="147" t="str">
        <f>IF(Daten!I24="","",Daten!I24)</f>
        <v>TSV Bayer Leverkusen</v>
      </c>
      <c r="Q7" s="145"/>
      <c r="R7" s="145"/>
      <c r="S7" s="145"/>
      <c r="T7" s="145"/>
      <c r="U7" s="145"/>
      <c r="V7" s="145"/>
      <c r="W7" s="145"/>
      <c r="X7" s="145" t="str">
        <f>IF(Daten!C24="","",Daten!C24)</f>
        <v>TV Viersen</v>
      </c>
      <c r="Y7" s="145"/>
      <c r="AA7" s="145" t="str">
        <f>+'Männer 60'!AB11</f>
        <v>TSG Eisenberg</v>
      </c>
      <c r="AB7" s="145"/>
      <c r="AC7" s="145" t="str">
        <f>+'Männer 50'!AB11</f>
        <v>Haaner TB</v>
      </c>
    </row>
    <row r="8" spans="1:29" ht="12.75" hidden="1" outlineLevel="1">
      <c r="A8" s="145">
        <v>5</v>
      </c>
      <c r="B8" s="145" t="str">
        <f>IF(Daten!C9="","",Daten!C9)</f>
        <v>TSV Krumbach</v>
      </c>
      <c r="C8" s="145"/>
      <c r="D8" s="145"/>
      <c r="E8" s="145"/>
      <c r="F8" s="145"/>
      <c r="G8" s="145"/>
      <c r="H8" s="145" t="str">
        <f>IF(Daten!C17="","",Daten!C17)</f>
        <v>TV Wertheim</v>
      </c>
      <c r="I8" s="145"/>
      <c r="J8" s="145"/>
      <c r="K8" s="145"/>
      <c r="L8" s="145" t="str">
        <f>IF(Daten!I9="","",Daten!I9)</f>
        <v>TSV Ludwigshafen</v>
      </c>
      <c r="M8" s="145"/>
      <c r="N8" s="145"/>
      <c r="O8" s="145" t="str">
        <f>IF(Daten!I17="","",Daten!I17)</f>
        <v>TV Edingen</v>
      </c>
      <c r="P8" s="147" t="str">
        <f>IF(Daten!I25="","",Daten!I25)</f>
        <v>TSG Eisenberg</v>
      </c>
      <c r="Q8" s="145"/>
      <c r="R8" s="145"/>
      <c r="S8" s="145"/>
      <c r="T8" s="145"/>
      <c r="U8" s="145"/>
      <c r="V8" s="145"/>
      <c r="W8" s="145"/>
      <c r="X8" s="145" t="str">
        <f>IF(Daten!C25="","",Daten!C25)</f>
        <v>TSV Krumbach</v>
      </c>
      <c r="Y8" s="145"/>
      <c r="AA8" s="145" t="str">
        <f>+'Männer 60'!AB13</f>
        <v>VfL Oldenburg</v>
      </c>
      <c r="AB8" s="145"/>
      <c r="AC8" s="145" t="str">
        <f>+'Männer 50'!AB13</f>
        <v>SC Wentorf</v>
      </c>
    </row>
    <row r="9" spans="1:28" ht="12.75" hidden="1" outlineLevel="1">
      <c r="A9" s="145">
        <v>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7"/>
      <c r="Q9" s="145"/>
      <c r="R9" s="145"/>
      <c r="S9" s="145"/>
      <c r="T9" s="145"/>
      <c r="U9" s="145"/>
      <c r="V9" s="145"/>
      <c r="W9" s="145"/>
      <c r="X9" s="145"/>
      <c r="Y9" s="145"/>
      <c r="AA9" s="145"/>
      <c r="AB9" s="145"/>
    </row>
    <row r="10" spans="1:28" ht="12.75" hidden="1" outlineLevel="1">
      <c r="A10" s="145">
        <v>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7"/>
      <c r="Q10" s="145"/>
      <c r="R10" s="145"/>
      <c r="S10" s="145"/>
      <c r="T10" s="145"/>
      <c r="U10" s="145"/>
      <c r="V10" s="145"/>
      <c r="W10" s="145"/>
      <c r="X10" s="145"/>
      <c r="Y10" s="145"/>
      <c r="AA10" s="145"/>
      <c r="AB10" s="145"/>
    </row>
    <row r="11" spans="1:29" ht="12.75" hidden="1" outlineLevel="1">
      <c r="A11" s="145">
        <v>11</v>
      </c>
      <c r="B11" s="145" t="str">
        <f>IF(Daten!F5="","",Daten!F5)</f>
        <v>SSC Dodesheide</v>
      </c>
      <c r="C11" s="145"/>
      <c r="D11" s="145"/>
      <c r="E11" s="145"/>
      <c r="F11" s="145"/>
      <c r="G11" s="145"/>
      <c r="H11" s="145" t="str">
        <f>IF(Daten!F13="","",Daten!F13)</f>
        <v>TV Grohn</v>
      </c>
      <c r="I11" s="145"/>
      <c r="J11" s="145"/>
      <c r="K11" s="145"/>
      <c r="L11" s="145" t="str">
        <f>IF(Daten!L5="","",Daten!L5)</f>
        <v>VSK Osterholz Scharmbeck</v>
      </c>
      <c r="M11" s="145"/>
      <c r="N11" s="145"/>
      <c r="O11" s="145" t="str">
        <f>IF(Daten!L13="","",Daten!L13)</f>
        <v>TV Grohn</v>
      </c>
      <c r="P11" s="147" t="str">
        <f>IF(Daten!L21="","",Daten!L21)</f>
        <v>TSV Burgdorf</v>
      </c>
      <c r="Q11" s="145"/>
      <c r="R11" s="145"/>
      <c r="S11" s="145"/>
      <c r="T11" s="145"/>
      <c r="U11" s="145"/>
      <c r="V11" s="145"/>
      <c r="W11" s="145"/>
      <c r="X11" s="145" t="str">
        <f>IF(Daten!F21="","",Daten!F21)</f>
        <v>TSV Kirchdorf</v>
      </c>
      <c r="Y11" s="145"/>
      <c r="AA11" s="145" t="str">
        <f>+'Männer 60'!AB23</f>
        <v>SV Werder Bremen</v>
      </c>
      <c r="AB11" s="145"/>
      <c r="AC11" s="145" t="str">
        <f>+'Männer 50'!AB23</f>
        <v>SV Werder Bremen</v>
      </c>
    </row>
    <row r="12" spans="1:29" ht="12.75" hidden="1" outlineLevel="1">
      <c r="A12" s="145">
        <v>12</v>
      </c>
      <c r="B12" s="145" t="str">
        <f>IF(Daten!F6="","",Daten!F6)</f>
        <v>VfK 1901 Berlin</v>
      </c>
      <c r="C12" s="145"/>
      <c r="D12" s="145"/>
      <c r="E12" s="145"/>
      <c r="F12" s="145"/>
      <c r="G12" s="145"/>
      <c r="H12" s="145" t="str">
        <f>IF(Daten!F14="","",Daten!F14)</f>
        <v>SF Ricklingen</v>
      </c>
      <c r="I12" s="145"/>
      <c r="J12" s="145"/>
      <c r="K12" s="145"/>
      <c r="L12" s="145" t="str">
        <f>IF(Daten!L6="","",Daten!L6)</f>
        <v>MTV Wohnste</v>
      </c>
      <c r="M12" s="145"/>
      <c r="N12" s="145"/>
      <c r="O12" s="145" t="str">
        <f>IF(Daten!L14="","",Daten!L14)</f>
        <v>VfL Hannover</v>
      </c>
      <c r="P12" s="147" t="str">
        <f>IF(Daten!L22="","",Daten!L22)</f>
        <v>SV Werder Bremen</v>
      </c>
      <c r="Q12" s="145"/>
      <c r="R12" s="145"/>
      <c r="S12" s="145"/>
      <c r="T12" s="145"/>
      <c r="U12" s="145"/>
      <c r="V12" s="145"/>
      <c r="W12" s="145"/>
      <c r="X12" s="145" t="str">
        <f>IF(Daten!F22="","",Daten!F22)</f>
        <v>SV Werder Bremen</v>
      </c>
      <c r="Y12" s="145"/>
      <c r="AA12" s="145" t="str">
        <f>+'Männer 60'!AB25</f>
        <v>TV Cramberg</v>
      </c>
      <c r="AB12" s="145"/>
      <c r="AC12" s="145" t="str">
        <f>+'Männer 50'!AB25</f>
        <v>TuS Ferndorf</v>
      </c>
    </row>
    <row r="13" spans="1:29" ht="12.75" hidden="1" outlineLevel="1">
      <c r="A13" s="145">
        <v>13</v>
      </c>
      <c r="B13" s="145" t="str">
        <f>IF(Daten!F7="","",Daten!F7)</f>
        <v>SV Weiler</v>
      </c>
      <c r="C13" s="145"/>
      <c r="D13" s="145"/>
      <c r="E13" s="145"/>
      <c r="F13" s="145"/>
      <c r="G13" s="145"/>
      <c r="H13" s="145" t="str">
        <f>IF(Daten!F15="","",Daten!F15)</f>
        <v>TV Offenburg</v>
      </c>
      <c r="I13" s="145"/>
      <c r="J13" s="145"/>
      <c r="K13" s="145"/>
      <c r="L13" s="145" t="str">
        <f>IF(Daten!L7="","",Daten!L7)</f>
        <v>TV Wertheim</v>
      </c>
      <c r="M13" s="145"/>
      <c r="N13" s="145"/>
      <c r="O13" s="145" t="str">
        <f>IF(Daten!L15="","",Daten!L15)</f>
        <v>TV Baden</v>
      </c>
      <c r="P13" s="147" t="str">
        <f>IF(Daten!L23="","",Daten!L23)</f>
        <v>TV Cramberg</v>
      </c>
      <c r="Q13" s="145"/>
      <c r="R13" s="145"/>
      <c r="S13" s="145"/>
      <c r="T13" s="145"/>
      <c r="U13" s="145"/>
      <c r="V13" s="145"/>
      <c r="W13" s="145"/>
      <c r="X13" s="145" t="str">
        <f>IF(Daten!F23="","",Daten!F23)</f>
        <v>TV Edingen</v>
      </c>
      <c r="Y13" s="145"/>
      <c r="AA13" s="145" t="str">
        <f>+'Männer 60'!AB27</f>
        <v>TSV Burgdorf</v>
      </c>
      <c r="AB13" s="145"/>
      <c r="AC13" s="145" t="str">
        <f>+'Männer 50'!AB27</f>
        <v>VT Contwig</v>
      </c>
    </row>
    <row r="14" spans="1:29" ht="12.75" hidden="1" outlineLevel="1">
      <c r="A14" s="145">
        <v>14</v>
      </c>
      <c r="B14" s="145" t="str">
        <f>IF(Daten!F8="","",Daten!F8)</f>
        <v>SV Prag Stuttgart</v>
      </c>
      <c r="C14" s="145"/>
      <c r="D14" s="145"/>
      <c r="E14" s="145"/>
      <c r="F14" s="145"/>
      <c r="G14" s="145"/>
      <c r="H14" s="145" t="str">
        <f>IF(Daten!F16="","",Daten!F16)</f>
        <v>VT Contwig</v>
      </c>
      <c r="I14" s="145"/>
      <c r="J14" s="145"/>
      <c r="K14" s="145"/>
      <c r="L14" s="145" t="str">
        <f>IF(Daten!L8="","",Daten!L8)</f>
        <v>TG Giengen</v>
      </c>
      <c r="M14" s="145"/>
      <c r="N14" s="145"/>
      <c r="O14" s="145" t="str">
        <f>IF(Daten!L16="","",Daten!L16)</f>
        <v>TV Oberschopfheim</v>
      </c>
      <c r="P14" s="147" t="str">
        <f>IF(Daten!L24="","",Daten!L24)</f>
        <v>TV Höheischweiler</v>
      </c>
      <c r="Q14" s="145"/>
      <c r="R14" s="145"/>
      <c r="S14" s="145"/>
      <c r="T14" s="145"/>
      <c r="U14" s="145"/>
      <c r="V14" s="145"/>
      <c r="W14" s="145"/>
      <c r="X14" s="145" t="str">
        <f>IF(Daten!F24="","",Daten!F24)</f>
        <v>VT Contwig</v>
      </c>
      <c r="Y14" s="145"/>
      <c r="AA14" s="145" t="str">
        <f>+'Männer 60'!AB29</f>
        <v>TV Höheischweiler</v>
      </c>
      <c r="AB14" s="145"/>
      <c r="AC14" s="145" t="str">
        <f>+'Männer 50'!AB29</f>
        <v>TSV Kirchdorf</v>
      </c>
    </row>
    <row r="15" spans="1:29" ht="12.75" hidden="1" outlineLevel="1">
      <c r="A15" s="145">
        <v>15</v>
      </c>
      <c r="B15" s="145" t="str">
        <f>IF(Daten!F9="","",Daten!F9)</f>
        <v>SKG Ober Ramstadt</v>
      </c>
      <c r="C15" s="145"/>
      <c r="D15" s="145"/>
      <c r="E15" s="145"/>
      <c r="F15" s="145"/>
      <c r="G15" s="145"/>
      <c r="H15" s="145" t="str">
        <f>IF(Daten!F17="","",Daten!F17)</f>
        <v>TV FA Altenbochum</v>
      </c>
      <c r="I15" s="145"/>
      <c r="J15" s="145"/>
      <c r="K15" s="145"/>
      <c r="L15" s="145" t="str">
        <f>IF(Daten!L9="","",Daten!L9)</f>
        <v>Betzdorfer TV</v>
      </c>
      <c r="M15" s="145"/>
      <c r="N15" s="145"/>
      <c r="O15" s="145" t="str">
        <f>IF(Daten!L17="","",Daten!L17)</f>
        <v>SKG Ober Ramstadt</v>
      </c>
      <c r="P15" s="147" t="str">
        <f>IF(Daten!L25="","",Daten!L25)</f>
        <v>TV Niederschelden</v>
      </c>
      <c r="Q15" s="145"/>
      <c r="R15" s="145"/>
      <c r="S15" s="145"/>
      <c r="T15" s="145"/>
      <c r="U15" s="145"/>
      <c r="V15" s="145"/>
      <c r="W15" s="145"/>
      <c r="X15" s="145" t="str">
        <f>IF(Daten!F25="","",Daten!F25)</f>
        <v>TuS Ferndorf</v>
      </c>
      <c r="Y15" s="145"/>
      <c r="AA15" s="145" t="str">
        <f>+'Männer 60'!AB31</f>
        <v>TV Niederschelden</v>
      </c>
      <c r="AB15" s="145"/>
      <c r="AC15" s="145" t="str">
        <f>+'Männer 50'!AB31</f>
        <v>TV Edingen</v>
      </c>
    </row>
    <row r="16" spans="1:16" s="145" customFormat="1" ht="11.25" hidden="1" outlineLevel="1">
      <c r="A16" s="145">
        <v>16</v>
      </c>
      <c r="P16" s="147"/>
    </row>
    <row r="17" spans="1:16" s="145" customFormat="1" ht="11.25" hidden="1" outlineLevel="1">
      <c r="A17" s="145">
        <v>17</v>
      </c>
      <c r="P17" s="147"/>
    </row>
    <row r="18" s="145" customFormat="1" ht="11.25" hidden="1" outlineLevel="1">
      <c r="P18" s="147"/>
    </row>
    <row r="19" spans="1:15" ht="12.75" hidden="1" outlineLevel="1">
      <c r="A19" s="145"/>
      <c r="B19" s="145"/>
      <c r="H19" s="145"/>
      <c r="I19" s="145"/>
      <c r="J19" s="145"/>
      <c r="K19" s="145"/>
      <c r="L19" s="145"/>
      <c r="M19" s="145"/>
      <c r="N19" s="145"/>
      <c r="O19" s="145"/>
    </row>
    <row r="20" ht="4.5" customHeight="1" hidden="1" outlineLevel="1"/>
    <row r="21" spans="2:25" s="181" customFormat="1" ht="12.75" customHeight="1" collapsed="1" thickBot="1">
      <c r="B21" s="185" t="s">
        <v>46</v>
      </c>
      <c r="C21" s="185" t="s">
        <v>3</v>
      </c>
      <c r="D21" s="185" t="s">
        <v>47</v>
      </c>
      <c r="E21" s="185" t="s">
        <v>48</v>
      </c>
      <c r="F21" s="185"/>
      <c r="G21" s="185"/>
      <c r="H21" s="185" t="s">
        <v>49</v>
      </c>
      <c r="I21" s="185"/>
      <c r="J21" s="185"/>
      <c r="K21" s="185"/>
      <c r="L21" s="185" t="s">
        <v>49</v>
      </c>
      <c r="M21" s="185"/>
      <c r="N21" s="185"/>
      <c r="O21" s="185" t="s">
        <v>50</v>
      </c>
      <c r="P21" s="186" t="s">
        <v>51</v>
      </c>
      <c r="Q21" s="185"/>
      <c r="R21" s="185" t="s">
        <v>52</v>
      </c>
      <c r="S21" s="185"/>
      <c r="T21" s="185"/>
      <c r="U21" s="185" t="s">
        <v>26</v>
      </c>
      <c r="V21" s="185"/>
      <c r="X21" s="185" t="s">
        <v>52</v>
      </c>
      <c r="Y21" s="185" t="s">
        <v>26</v>
      </c>
    </row>
    <row r="22" spans="2:29" s="145" customFormat="1" ht="12.75" customHeight="1" thickTop="1">
      <c r="B22" s="145">
        <v>1</v>
      </c>
      <c r="C22" s="150">
        <f>+Daten!R4</f>
        <v>0.5625</v>
      </c>
      <c r="D22" s="145">
        <v>97</v>
      </c>
      <c r="E22" s="145">
        <v>1</v>
      </c>
      <c r="F22" s="158" t="s">
        <v>69</v>
      </c>
      <c r="G22" s="152">
        <v>1</v>
      </c>
      <c r="H22" s="153" t="str">
        <f ca="1" t="shared" si="0" ref="H22:H45">INDIRECT(ADDRESS(MATCH(G22,$A$1:$A$19,0),MATCH(F22,$A$3:$AE$3,0)))</f>
        <v>VfL Oldenburg</v>
      </c>
      <c r="I22" s="154" t="s">
        <v>28</v>
      </c>
      <c r="J22" s="158" t="s">
        <v>69</v>
      </c>
      <c r="K22" s="152">
        <v>2</v>
      </c>
      <c r="L22" s="153" t="str">
        <f ca="1" t="shared" si="1" ref="L22:L45">INDIRECT(ADDRESS(MATCH(K22,$A$1:$A$19,0),MATCH(J22,$A$3:$AE$3,0)))</f>
        <v>TV Bremen 1875</v>
      </c>
      <c r="M22" s="158" t="s">
        <v>69</v>
      </c>
      <c r="N22" s="152">
        <v>3</v>
      </c>
      <c r="O22" s="153" t="str">
        <f ca="1" t="shared" si="2" ref="O22:O45">INDIRECT(ADDRESS(MATCH(N22,$A$1:$A$19,0),MATCH(M22,$A$3:$AE$3,0)))</f>
        <v>Eiserfelder TV</v>
      </c>
      <c r="P22" s="147"/>
      <c r="Q22" s="145">
        <v>31</v>
      </c>
      <c r="R22" s="154" t="s">
        <v>27</v>
      </c>
      <c r="S22" s="145">
        <v>45</v>
      </c>
      <c r="T22" s="155">
        <f aca="true" t="shared" si="3" ref="T22:T53">IF(Q22="","",IF(Q22&gt;S22,2,IF(Q22&lt;S22,0,1)))</f>
        <v>0</v>
      </c>
      <c r="U22" s="154" t="s">
        <v>27</v>
      </c>
      <c r="V22" s="156">
        <f aca="true" t="shared" si="4" ref="V22:V53">IF(S22="","",IF(S22&gt;Q22,2,IF(S22&lt;Q22,0,1)))</f>
        <v>2</v>
      </c>
      <c r="X22" s="154" t="s">
        <v>53</v>
      </c>
      <c r="Y22" s="154" t="s">
        <v>53</v>
      </c>
      <c r="AA22" s="145" t="s">
        <v>80</v>
      </c>
      <c r="AB22" s="145">
        <v>1</v>
      </c>
      <c r="AC22" s="145" t="s">
        <v>40</v>
      </c>
    </row>
    <row r="23" spans="2:29" s="145" customFormat="1" ht="12.75" customHeight="1">
      <c r="B23" s="152"/>
      <c r="C23" s="152"/>
      <c r="D23" s="152">
        <f aca="true" t="shared" si="5" ref="D23:D69">+D22+1</f>
        <v>98</v>
      </c>
      <c r="E23" s="152">
        <v>2</v>
      </c>
      <c r="F23" s="151" t="s">
        <v>69</v>
      </c>
      <c r="G23" s="152">
        <v>11</v>
      </c>
      <c r="H23" s="153" t="str">
        <f ca="1" t="shared" si="0"/>
        <v>TSV Burgdorf</v>
      </c>
      <c r="I23" s="157" t="s">
        <v>28</v>
      </c>
      <c r="J23" s="151" t="s">
        <v>69</v>
      </c>
      <c r="K23" s="152">
        <v>12</v>
      </c>
      <c r="L23" s="153" t="str">
        <f ca="1" t="shared" si="1"/>
        <v>SV Werder Bremen</v>
      </c>
      <c r="M23" s="151" t="s">
        <v>69</v>
      </c>
      <c r="N23" s="152">
        <v>13</v>
      </c>
      <c r="O23" s="153" t="str">
        <f ca="1" t="shared" si="2"/>
        <v>TV Cramberg</v>
      </c>
      <c r="P23" s="169"/>
      <c r="Q23" s="152">
        <v>18</v>
      </c>
      <c r="R23" s="157" t="s">
        <v>27</v>
      </c>
      <c r="S23" s="152">
        <v>39</v>
      </c>
      <c r="T23" s="170">
        <f t="shared" si="3"/>
        <v>0</v>
      </c>
      <c r="U23" s="157" t="s">
        <v>27</v>
      </c>
      <c r="V23" s="171">
        <f t="shared" si="4"/>
        <v>2</v>
      </c>
      <c r="W23" s="152"/>
      <c r="X23" s="157" t="s">
        <v>53</v>
      </c>
      <c r="Y23" s="157" t="s">
        <v>53</v>
      </c>
      <c r="AA23" s="145" t="s">
        <v>80</v>
      </c>
      <c r="AB23" s="145">
        <v>1</v>
      </c>
      <c r="AC23" s="145" t="s">
        <v>40</v>
      </c>
    </row>
    <row r="24" spans="3:29" s="145" customFormat="1" ht="12.75" customHeight="1">
      <c r="C24" s="150"/>
      <c r="D24" s="145">
        <f t="shared" si="5"/>
        <v>99</v>
      </c>
      <c r="E24" s="145">
        <v>3</v>
      </c>
      <c r="F24" s="158" t="s">
        <v>23</v>
      </c>
      <c r="G24" s="145">
        <v>1</v>
      </c>
      <c r="H24" s="153" t="str">
        <f ca="1" t="shared" si="0"/>
        <v>SC Wentorf</v>
      </c>
      <c r="I24" s="154" t="s">
        <v>28</v>
      </c>
      <c r="J24" s="158" t="s">
        <v>23</v>
      </c>
      <c r="K24" s="145">
        <v>2</v>
      </c>
      <c r="L24" s="153" t="str">
        <f ca="1" t="shared" si="1"/>
        <v>SF Ricklingen</v>
      </c>
      <c r="M24" s="158" t="s">
        <v>23</v>
      </c>
      <c r="N24" s="145">
        <v>3</v>
      </c>
      <c r="O24" s="153" t="str">
        <f ca="1" t="shared" si="2"/>
        <v>Haaner TB</v>
      </c>
      <c r="Q24" s="145">
        <v>30</v>
      </c>
      <c r="R24" s="154" t="s">
        <v>27</v>
      </c>
      <c r="S24" s="145">
        <v>50</v>
      </c>
      <c r="T24" s="155">
        <f t="shared" si="3"/>
        <v>0</v>
      </c>
      <c r="U24" s="154" t="s">
        <v>27</v>
      </c>
      <c r="V24" s="156">
        <f t="shared" si="4"/>
        <v>2</v>
      </c>
      <c r="X24" s="154" t="s">
        <v>53</v>
      </c>
      <c r="Y24" s="154" t="s">
        <v>53</v>
      </c>
      <c r="AA24" s="145" t="s">
        <v>80</v>
      </c>
      <c r="AB24" s="145">
        <v>2</v>
      </c>
      <c r="AC24" s="145" t="s">
        <v>40</v>
      </c>
    </row>
    <row r="25" spans="2:29" s="145" customFormat="1" ht="12.75" customHeight="1">
      <c r="B25" s="159"/>
      <c r="C25" s="159"/>
      <c r="D25" s="159">
        <f t="shared" si="5"/>
        <v>100</v>
      </c>
      <c r="E25" s="159">
        <v>4</v>
      </c>
      <c r="F25" s="160" t="s">
        <v>23</v>
      </c>
      <c r="G25" s="159">
        <v>11</v>
      </c>
      <c r="H25" s="161" t="str">
        <f ca="1" t="shared" si="0"/>
        <v>TSV Kirchdorf</v>
      </c>
      <c r="I25" s="162" t="s">
        <v>28</v>
      </c>
      <c r="J25" s="160" t="s">
        <v>23</v>
      </c>
      <c r="K25" s="159">
        <v>12</v>
      </c>
      <c r="L25" s="161" t="str">
        <f ca="1" t="shared" si="1"/>
        <v>SV Werder Bremen</v>
      </c>
      <c r="M25" s="160" t="s">
        <v>23</v>
      </c>
      <c r="N25" s="159">
        <v>13</v>
      </c>
      <c r="O25" s="161" t="str">
        <f ca="1" t="shared" si="2"/>
        <v>TV Edingen</v>
      </c>
      <c r="P25" s="159"/>
      <c r="Q25" s="159">
        <v>30</v>
      </c>
      <c r="R25" s="162" t="s">
        <v>27</v>
      </c>
      <c r="S25" s="159">
        <v>45</v>
      </c>
      <c r="T25" s="164">
        <f t="shared" si="3"/>
        <v>0</v>
      </c>
      <c r="U25" s="162" t="s">
        <v>27</v>
      </c>
      <c r="V25" s="165">
        <f t="shared" si="4"/>
        <v>2</v>
      </c>
      <c r="W25" s="152"/>
      <c r="X25" s="162" t="s">
        <v>53</v>
      </c>
      <c r="Y25" s="162" t="s">
        <v>53</v>
      </c>
      <c r="AA25" s="145" t="s">
        <v>80</v>
      </c>
      <c r="AB25" s="145">
        <v>2</v>
      </c>
      <c r="AC25" s="145" t="s">
        <v>40</v>
      </c>
    </row>
    <row r="26" spans="2:29" ht="12.75">
      <c r="B26" s="145">
        <f>+B22+1</f>
        <v>2</v>
      </c>
      <c r="C26" s="150">
        <f>+Daten!R5</f>
        <v>0.5798611111111112</v>
      </c>
      <c r="D26" s="152">
        <f>+D25+1</f>
        <v>101</v>
      </c>
      <c r="E26" s="145">
        <v>1</v>
      </c>
      <c r="F26" s="158" t="s">
        <v>69</v>
      </c>
      <c r="G26" s="152">
        <v>3</v>
      </c>
      <c r="H26" s="153" t="str">
        <f ca="1" t="shared" si="0"/>
        <v>Eiserfelder TV</v>
      </c>
      <c r="I26" s="154" t="s">
        <v>28</v>
      </c>
      <c r="J26" s="158" t="s">
        <v>69</v>
      </c>
      <c r="K26" s="152">
        <v>4</v>
      </c>
      <c r="L26" s="153" t="str">
        <f ca="1" t="shared" si="1"/>
        <v>TSV Bayer Leverkusen</v>
      </c>
      <c r="M26" s="158" t="s">
        <v>69</v>
      </c>
      <c r="N26" s="152">
        <v>5</v>
      </c>
      <c r="O26" s="153" t="str">
        <f ca="1" t="shared" si="2"/>
        <v>TSG Eisenberg</v>
      </c>
      <c r="P26" s="147"/>
      <c r="Q26" s="145">
        <v>41</v>
      </c>
      <c r="R26" s="154" t="s">
        <v>27</v>
      </c>
      <c r="S26" s="145">
        <v>35</v>
      </c>
      <c r="T26" s="155">
        <f t="shared" si="3"/>
        <v>2</v>
      </c>
      <c r="U26" s="154" t="s">
        <v>27</v>
      </c>
      <c r="V26" s="156">
        <f t="shared" si="4"/>
        <v>0</v>
      </c>
      <c r="X26" s="154" t="s">
        <v>53</v>
      </c>
      <c r="Y26" s="154" t="s">
        <v>53</v>
      </c>
      <c r="Z26" s="144"/>
      <c r="AA26" s="145" t="s">
        <v>80</v>
      </c>
      <c r="AB26" s="145">
        <v>3</v>
      </c>
      <c r="AC26" s="145" t="s">
        <v>40</v>
      </c>
    </row>
    <row r="27" spans="2:29" ht="12.75">
      <c r="B27" s="152"/>
      <c r="C27" s="152"/>
      <c r="D27" s="152">
        <f t="shared" si="5"/>
        <v>102</v>
      </c>
      <c r="E27" s="152">
        <v>2</v>
      </c>
      <c r="F27" s="151" t="s">
        <v>69</v>
      </c>
      <c r="G27" s="152">
        <v>13</v>
      </c>
      <c r="H27" s="153" t="str">
        <f ca="1" t="shared" si="0"/>
        <v>TV Cramberg</v>
      </c>
      <c r="I27" s="157" t="s">
        <v>28</v>
      </c>
      <c r="J27" s="151" t="s">
        <v>69</v>
      </c>
      <c r="K27" s="152">
        <v>14</v>
      </c>
      <c r="L27" s="153" t="str">
        <f ca="1" t="shared" si="1"/>
        <v>TV Höheischweiler</v>
      </c>
      <c r="M27" s="151" t="s">
        <v>69</v>
      </c>
      <c r="N27" s="152">
        <v>15</v>
      </c>
      <c r="O27" s="153" t="str">
        <f ca="1" t="shared" si="2"/>
        <v>TV Niederschelden</v>
      </c>
      <c r="P27" s="169"/>
      <c r="Q27" s="152">
        <v>42</v>
      </c>
      <c r="R27" s="157" t="s">
        <v>27</v>
      </c>
      <c r="S27" s="152">
        <v>35</v>
      </c>
      <c r="T27" s="170">
        <f t="shared" si="3"/>
        <v>2</v>
      </c>
      <c r="U27" s="157" t="s">
        <v>27</v>
      </c>
      <c r="V27" s="171">
        <f t="shared" si="4"/>
        <v>0</v>
      </c>
      <c r="W27" s="166"/>
      <c r="X27" s="157" t="s">
        <v>53</v>
      </c>
      <c r="Y27" s="157" t="s">
        <v>53</v>
      </c>
      <c r="Z27" s="144"/>
      <c r="AA27" s="145" t="s">
        <v>80</v>
      </c>
      <c r="AB27" s="145">
        <v>3</v>
      </c>
      <c r="AC27" s="145" t="s">
        <v>40</v>
      </c>
    </row>
    <row r="28" spans="2:29" ht="12.75">
      <c r="B28" s="145"/>
      <c r="C28" s="150"/>
      <c r="D28" s="145">
        <f t="shared" si="5"/>
        <v>103</v>
      </c>
      <c r="E28" s="145">
        <v>3</v>
      </c>
      <c r="F28" s="158" t="s">
        <v>23</v>
      </c>
      <c r="G28" s="152">
        <v>3</v>
      </c>
      <c r="H28" s="153" t="str">
        <f ca="1" t="shared" si="0"/>
        <v>Haaner TB</v>
      </c>
      <c r="I28" s="157" t="s">
        <v>28</v>
      </c>
      <c r="J28" s="158" t="s">
        <v>23</v>
      </c>
      <c r="K28" s="152">
        <v>4</v>
      </c>
      <c r="L28" s="153" t="str">
        <f ca="1" t="shared" si="1"/>
        <v>TV Viersen</v>
      </c>
      <c r="M28" s="158" t="s">
        <v>23</v>
      </c>
      <c r="N28" s="152">
        <v>5</v>
      </c>
      <c r="O28" s="153" t="str">
        <f ca="1" t="shared" si="2"/>
        <v>TSV Krumbach</v>
      </c>
      <c r="P28" s="147"/>
      <c r="Q28" s="145">
        <v>32</v>
      </c>
      <c r="R28" s="154" t="s">
        <v>27</v>
      </c>
      <c r="S28" s="145">
        <v>40</v>
      </c>
      <c r="T28" s="155">
        <f t="shared" si="3"/>
        <v>0</v>
      </c>
      <c r="U28" s="154" t="s">
        <v>27</v>
      </c>
      <c r="V28" s="156">
        <f t="shared" si="4"/>
        <v>2</v>
      </c>
      <c r="W28" s="166"/>
      <c r="X28" s="154" t="s">
        <v>53</v>
      </c>
      <c r="Y28" s="154" t="s">
        <v>53</v>
      </c>
      <c r="Z28" s="144"/>
      <c r="AA28" s="145" t="s">
        <v>80</v>
      </c>
      <c r="AB28" s="145">
        <v>4</v>
      </c>
      <c r="AC28" s="145" t="s">
        <v>40</v>
      </c>
    </row>
    <row r="29" spans="2:29" ht="12.75">
      <c r="B29" s="159"/>
      <c r="C29" s="159"/>
      <c r="D29" s="159">
        <f t="shared" si="5"/>
        <v>104</v>
      </c>
      <c r="E29" s="159">
        <v>4</v>
      </c>
      <c r="F29" s="160" t="s">
        <v>23</v>
      </c>
      <c r="G29" s="159">
        <v>13</v>
      </c>
      <c r="H29" s="161" t="str">
        <f ca="1" t="shared" si="0"/>
        <v>TV Edingen</v>
      </c>
      <c r="I29" s="162" t="s">
        <v>28</v>
      </c>
      <c r="J29" s="160" t="s">
        <v>23</v>
      </c>
      <c r="K29" s="159">
        <v>14</v>
      </c>
      <c r="L29" s="161" t="str">
        <f ca="1" t="shared" si="1"/>
        <v>VT Contwig</v>
      </c>
      <c r="M29" s="160" t="s">
        <v>23</v>
      </c>
      <c r="N29" s="159">
        <v>15</v>
      </c>
      <c r="O29" s="161" t="str">
        <f ca="1" t="shared" si="2"/>
        <v>TuS Ferndorf</v>
      </c>
      <c r="P29" s="163"/>
      <c r="Q29" s="159">
        <v>33</v>
      </c>
      <c r="R29" s="162" t="s">
        <v>27</v>
      </c>
      <c r="S29" s="159">
        <v>36</v>
      </c>
      <c r="T29" s="164">
        <f t="shared" si="3"/>
        <v>0</v>
      </c>
      <c r="U29" s="162" t="s">
        <v>27</v>
      </c>
      <c r="V29" s="165">
        <f t="shared" si="4"/>
        <v>2</v>
      </c>
      <c r="W29" s="166"/>
      <c r="X29" s="162" t="s">
        <v>53</v>
      </c>
      <c r="Y29" s="162" t="s">
        <v>53</v>
      </c>
      <c r="Z29" s="144"/>
      <c r="AA29" s="145" t="s">
        <v>80</v>
      </c>
      <c r="AB29" s="145">
        <v>4</v>
      </c>
      <c r="AC29" s="145" t="s">
        <v>40</v>
      </c>
    </row>
    <row r="30" spans="2:29" ht="12.75" customHeight="1">
      <c r="B30" s="145">
        <f>+B26+1</f>
        <v>3</v>
      </c>
      <c r="C30" s="150">
        <f>+Daten!R6</f>
        <v>0.5972222222222223</v>
      </c>
      <c r="D30" s="152">
        <f>+D29+1</f>
        <v>105</v>
      </c>
      <c r="E30" s="145">
        <v>1</v>
      </c>
      <c r="F30" s="158" t="s">
        <v>69</v>
      </c>
      <c r="G30" s="152">
        <v>1</v>
      </c>
      <c r="H30" s="153" t="str">
        <f ca="1" t="shared" si="0"/>
        <v>VfL Oldenburg</v>
      </c>
      <c r="I30" s="157" t="s">
        <v>28</v>
      </c>
      <c r="J30" s="158" t="s">
        <v>69</v>
      </c>
      <c r="K30" s="152">
        <v>5</v>
      </c>
      <c r="L30" s="153" t="str">
        <f ca="1" t="shared" si="1"/>
        <v>TSG Eisenberg</v>
      </c>
      <c r="M30" s="158" t="s">
        <v>69</v>
      </c>
      <c r="N30" s="152">
        <v>2</v>
      </c>
      <c r="O30" s="153" t="str">
        <f ca="1" t="shared" si="2"/>
        <v>TV Bremen 1875</v>
      </c>
      <c r="Q30" s="145">
        <v>31</v>
      </c>
      <c r="R30" s="154" t="s">
        <v>27</v>
      </c>
      <c r="S30" s="145">
        <v>35</v>
      </c>
      <c r="T30" s="155">
        <f t="shared" si="3"/>
        <v>0</v>
      </c>
      <c r="U30" s="154" t="s">
        <v>27</v>
      </c>
      <c r="V30" s="156">
        <f t="shared" si="4"/>
        <v>2</v>
      </c>
      <c r="W30" s="166"/>
      <c r="X30" s="154" t="s">
        <v>53</v>
      </c>
      <c r="Y30" s="154" t="s">
        <v>53</v>
      </c>
      <c r="Z30" s="144"/>
      <c r="AA30" s="145" t="s">
        <v>80</v>
      </c>
      <c r="AB30" s="145">
        <v>5</v>
      </c>
      <c r="AC30" s="145" t="s">
        <v>40</v>
      </c>
    </row>
    <row r="31" spans="2:29" ht="12.75">
      <c r="B31" s="152"/>
      <c r="C31" s="152"/>
      <c r="D31" s="152">
        <f t="shared" si="5"/>
        <v>106</v>
      </c>
      <c r="E31" s="152">
        <v>2</v>
      </c>
      <c r="F31" s="151" t="s">
        <v>69</v>
      </c>
      <c r="G31" s="152">
        <v>11</v>
      </c>
      <c r="H31" s="153" t="str">
        <f ca="1" t="shared" si="0"/>
        <v>TSV Burgdorf</v>
      </c>
      <c r="I31" s="157" t="s">
        <v>28</v>
      </c>
      <c r="J31" s="151" t="s">
        <v>69</v>
      </c>
      <c r="K31" s="152">
        <v>15</v>
      </c>
      <c r="L31" s="153" t="str">
        <f ca="1" t="shared" si="1"/>
        <v>TV Niederschelden</v>
      </c>
      <c r="M31" s="151" t="s">
        <v>69</v>
      </c>
      <c r="N31" s="152">
        <v>12</v>
      </c>
      <c r="O31" s="153" t="str">
        <f ca="1" t="shared" si="2"/>
        <v>SV Werder Bremen</v>
      </c>
      <c r="P31" s="206"/>
      <c r="Q31" s="152">
        <v>30</v>
      </c>
      <c r="R31" s="157" t="s">
        <v>27</v>
      </c>
      <c r="S31" s="152">
        <v>15</v>
      </c>
      <c r="T31" s="170">
        <f t="shared" si="3"/>
        <v>2</v>
      </c>
      <c r="U31" s="157" t="s">
        <v>27</v>
      </c>
      <c r="V31" s="171">
        <f t="shared" si="4"/>
        <v>0</v>
      </c>
      <c r="W31" s="166"/>
      <c r="X31" s="157" t="s">
        <v>53</v>
      </c>
      <c r="Y31" s="157" t="s">
        <v>53</v>
      </c>
      <c r="Z31" s="144"/>
      <c r="AA31" s="145" t="s">
        <v>80</v>
      </c>
      <c r="AB31" s="145">
        <v>5</v>
      </c>
      <c r="AC31" s="145" t="s">
        <v>40</v>
      </c>
    </row>
    <row r="32" spans="2:29" ht="12.75">
      <c r="B32" s="145"/>
      <c r="C32" s="150"/>
      <c r="D32" s="145">
        <f t="shared" si="5"/>
        <v>107</v>
      </c>
      <c r="E32" s="145">
        <v>3</v>
      </c>
      <c r="F32" s="158" t="s">
        <v>23</v>
      </c>
      <c r="G32" s="152">
        <v>1</v>
      </c>
      <c r="H32" s="153" t="str">
        <f ca="1" t="shared" si="0"/>
        <v>SC Wentorf</v>
      </c>
      <c r="I32" s="154" t="s">
        <v>28</v>
      </c>
      <c r="J32" s="158" t="s">
        <v>23</v>
      </c>
      <c r="K32" s="152">
        <v>5</v>
      </c>
      <c r="L32" s="153" t="str">
        <f ca="1" t="shared" si="1"/>
        <v>TSV Krumbach</v>
      </c>
      <c r="M32" s="158" t="s">
        <v>23</v>
      </c>
      <c r="N32" s="152">
        <v>2</v>
      </c>
      <c r="O32" s="153" t="str">
        <f ca="1" t="shared" si="2"/>
        <v>SF Ricklingen</v>
      </c>
      <c r="Q32" s="145">
        <v>25</v>
      </c>
      <c r="R32" s="154" t="s">
        <v>27</v>
      </c>
      <c r="S32" s="145">
        <v>41</v>
      </c>
      <c r="T32" s="155">
        <f t="shared" si="3"/>
        <v>0</v>
      </c>
      <c r="U32" s="154" t="s">
        <v>27</v>
      </c>
      <c r="V32" s="156">
        <f t="shared" si="4"/>
        <v>2</v>
      </c>
      <c r="W32" s="166"/>
      <c r="X32" s="154" t="s">
        <v>53</v>
      </c>
      <c r="Y32" s="154" t="s">
        <v>53</v>
      </c>
      <c r="Z32" s="144"/>
      <c r="AA32" s="145" t="s">
        <v>80</v>
      </c>
      <c r="AB32" s="145">
        <v>6</v>
      </c>
      <c r="AC32" s="145" t="s">
        <v>40</v>
      </c>
    </row>
    <row r="33" spans="2:29" ht="12.75">
      <c r="B33" s="159"/>
      <c r="C33" s="159"/>
      <c r="D33" s="159">
        <f t="shared" si="5"/>
        <v>108</v>
      </c>
      <c r="E33" s="159">
        <v>4</v>
      </c>
      <c r="F33" s="160" t="s">
        <v>23</v>
      </c>
      <c r="G33" s="159">
        <v>11</v>
      </c>
      <c r="H33" s="161" t="str">
        <f ca="1" t="shared" si="0"/>
        <v>TSV Kirchdorf</v>
      </c>
      <c r="I33" s="162" t="s">
        <v>28</v>
      </c>
      <c r="J33" s="160" t="s">
        <v>23</v>
      </c>
      <c r="K33" s="159">
        <v>15</v>
      </c>
      <c r="L33" s="161" t="str">
        <f ca="1" t="shared" si="1"/>
        <v>TuS Ferndorf</v>
      </c>
      <c r="M33" s="160" t="s">
        <v>23</v>
      </c>
      <c r="N33" s="159">
        <v>12</v>
      </c>
      <c r="O33" s="161" t="str">
        <f ca="1" t="shared" si="2"/>
        <v>SV Werder Bremen</v>
      </c>
      <c r="P33" s="196"/>
      <c r="Q33" s="159">
        <v>33</v>
      </c>
      <c r="R33" s="162" t="s">
        <v>27</v>
      </c>
      <c r="S33" s="159">
        <v>34</v>
      </c>
      <c r="T33" s="164">
        <f t="shared" si="3"/>
        <v>0</v>
      </c>
      <c r="U33" s="162" t="s">
        <v>27</v>
      </c>
      <c r="V33" s="165">
        <f t="shared" si="4"/>
        <v>2</v>
      </c>
      <c r="W33" s="166"/>
      <c r="X33" s="167" t="s">
        <v>53</v>
      </c>
      <c r="Y33" s="167" t="s">
        <v>53</v>
      </c>
      <c r="Z33" s="144"/>
      <c r="AA33" s="145" t="s">
        <v>80</v>
      </c>
      <c r="AB33" s="145">
        <v>6</v>
      </c>
      <c r="AC33" s="145" t="s">
        <v>40</v>
      </c>
    </row>
    <row r="34" spans="2:29" ht="12.75">
      <c r="B34" s="145">
        <f>+B30+1</f>
        <v>4</v>
      </c>
      <c r="C34" s="150">
        <f>+Daten!R7</f>
        <v>0.6145833333333335</v>
      </c>
      <c r="D34" s="152">
        <f>+D33+1</f>
        <v>109</v>
      </c>
      <c r="E34" s="145">
        <v>1</v>
      </c>
      <c r="F34" s="158" t="s">
        <v>69</v>
      </c>
      <c r="G34" s="152">
        <v>2</v>
      </c>
      <c r="H34" s="153" t="str">
        <f ca="1" t="shared" si="0"/>
        <v>TV Bremen 1875</v>
      </c>
      <c r="I34" s="157" t="s">
        <v>28</v>
      </c>
      <c r="J34" s="158" t="s">
        <v>69</v>
      </c>
      <c r="K34" s="152">
        <v>3</v>
      </c>
      <c r="L34" s="153" t="str">
        <f ca="1" t="shared" si="1"/>
        <v>Eiserfelder TV</v>
      </c>
      <c r="M34" s="158" t="s">
        <v>69</v>
      </c>
      <c r="N34" s="152">
        <v>4</v>
      </c>
      <c r="O34" s="153" t="str">
        <f ca="1" t="shared" si="2"/>
        <v>TSV Bayer Leverkusen</v>
      </c>
      <c r="Q34" s="145">
        <v>30</v>
      </c>
      <c r="R34" s="154" t="s">
        <v>27</v>
      </c>
      <c r="S34" s="145">
        <v>39</v>
      </c>
      <c r="T34" s="155">
        <f t="shared" si="3"/>
        <v>0</v>
      </c>
      <c r="U34" s="154" t="s">
        <v>27</v>
      </c>
      <c r="V34" s="156">
        <f t="shared" si="4"/>
        <v>2</v>
      </c>
      <c r="W34" s="166"/>
      <c r="X34" s="154" t="s">
        <v>53</v>
      </c>
      <c r="Y34" s="154" t="s">
        <v>53</v>
      </c>
      <c r="Z34" s="144"/>
      <c r="AA34" s="145" t="s">
        <v>80</v>
      </c>
      <c r="AB34" s="145">
        <v>7</v>
      </c>
      <c r="AC34" s="145" t="s">
        <v>40</v>
      </c>
    </row>
    <row r="35" spans="2:29" ht="12.75">
      <c r="B35" s="152"/>
      <c r="C35" s="152"/>
      <c r="D35" s="152">
        <f t="shared" si="5"/>
        <v>110</v>
      </c>
      <c r="E35" s="152">
        <v>2</v>
      </c>
      <c r="F35" s="151" t="s">
        <v>69</v>
      </c>
      <c r="G35" s="152">
        <v>12</v>
      </c>
      <c r="H35" s="153" t="str">
        <f ca="1" t="shared" si="0"/>
        <v>SV Werder Bremen</v>
      </c>
      <c r="I35" s="157" t="s">
        <v>28</v>
      </c>
      <c r="J35" s="151" t="s">
        <v>69</v>
      </c>
      <c r="K35" s="152">
        <v>13</v>
      </c>
      <c r="L35" s="153" t="str">
        <f ca="1" t="shared" si="1"/>
        <v>TV Cramberg</v>
      </c>
      <c r="M35" s="151" t="s">
        <v>69</v>
      </c>
      <c r="N35" s="152">
        <v>14</v>
      </c>
      <c r="O35" s="153" t="str">
        <f ca="1" t="shared" si="2"/>
        <v>TV Höheischweiler</v>
      </c>
      <c r="P35" s="206"/>
      <c r="Q35" s="152">
        <v>38</v>
      </c>
      <c r="R35" s="157" t="s">
        <v>27</v>
      </c>
      <c r="S35" s="152">
        <v>30</v>
      </c>
      <c r="T35" s="170">
        <f t="shared" si="3"/>
        <v>2</v>
      </c>
      <c r="U35" s="157" t="s">
        <v>27</v>
      </c>
      <c r="V35" s="171">
        <f t="shared" si="4"/>
        <v>0</v>
      </c>
      <c r="W35" s="166"/>
      <c r="X35" s="157" t="s">
        <v>53</v>
      </c>
      <c r="Y35" s="157" t="s">
        <v>53</v>
      </c>
      <c r="Z35" s="144"/>
      <c r="AA35" s="145" t="s">
        <v>80</v>
      </c>
      <c r="AB35" s="145">
        <v>7</v>
      </c>
      <c r="AC35" s="145" t="s">
        <v>40</v>
      </c>
    </row>
    <row r="36" spans="2:29" ht="12.75">
      <c r="B36" s="145"/>
      <c r="C36" s="150"/>
      <c r="D36" s="145">
        <f t="shared" si="5"/>
        <v>111</v>
      </c>
      <c r="E36" s="145">
        <v>3</v>
      </c>
      <c r="F36" s="158" t="s">
        <v>23</v>
      </c>
      <c r="G36" s="152">
        <v>2</v>
      </c>
      <c r="H36" s="153" t="str">
        <f ca="1" t="shared" si="0"/>
        <v>SF Ricklingen</v>
      </c>
      <c r="I36" s="157" t="s">
        <v>28</v>
      </c>
      <c r="J36" s="158" t="s">
        <v>23</v>
      </c>
      <c r="K36" s="152">
        <v>3</v>
      </c>
      <c r="L36" s="153" t="str">
        <f ca="1" t="shared" si="1"/>
        <v>Haaner TB</v>
      </c>
      <c r="M36" s="158" t="s">
        <v>23</v>
      </c>
      <c r="N36" s="152">
        <v>4</v>
      </c>
      <c r="O36" s="153" t="str">
        <f ca="1" t="shared" si="2"/>
        <v>TV Viersen</v>
      </c>
      <c r="P36" s="147"/>
      <c r="Q36" s="145">
        <v>33</v>
      </c>
      <c r="R36" s="154" t="s">
        <v>27</v>
      </c>
      <c r="S36" s="145">
        <v>26</v>
      </c>
      <c r="T36" s="155">
        <f t="shared" si="3"/>
        <v>2</v>
      </c>
      <c r="U36" s="154" t="s">
        <v>27</v>
      </c>
      <c r="V36" s="156">
        <f t="shared" si="4"/>
        <v>0</v>
      </c>
      <c r="W36" s="166"/>
      <c r="X36" s="154" t="s">
        <v>53</v>
      </c>
      <c r="Y36" s="154" t="s">
        <v>53</v>
      </c>
      <c r="Z36" s="144"/>
      <c r="AA36" s="145" t="s">
        <v>80</v>
      </c>
      <c r="AB36" s="145">
        <v>8</v>
      </c>
      <c r="AC36" s="145" t="s">
        <v>40</v>
      </c>
    </row>
    <row r="37" spans="2:29" ht="12.75">
      <c r="B37" s="159"/>
      <c r="C37" s="159"/>
      <c r="D37" s="159">
        <f t="shared" si="5"/>
        <v>112</v>
      </c>
      <c r="E37" s="159">
        <v>4</v>
      </c>
      <c r="F37" s="160" t="s">
        <v>23</v>
      </c>
      <c r="G37" s="159">
        <v>12</v>
      </c>
      <c r="H37" s="161" t="str">
        <f ca="1" t="shared" si="0"/>
        <v>SV Werder Bremen</v>
      </c>
      <c r="I37" s="162" t="s">
        <v>28</v>
      </c>
      <c r="J37" s="160" t="s">
        <v>23</v>
      </c>
      <c r="K37" s="159">
        <v>13</v>
      </c>
      <c r="L37" s="161" t="str">
        <f ca="1" t="shared" si="1"/>
        <v>TV Edingen</v>
      </c>
      <c r="M37" s="160" t="s">
        <v>23</v>
      </c>
      <c r="N37" s="159">
        <v>14</v>
      </c>
      <c r="O37" s="161" t="str">
        <f ca="1" t="shared" si="2"/>
        <v>VT Contwig</v>
      </c>
      <c r="P37" s="163"/>
      <c r="Q37" s="159">
        <v>33</v>
      </c>
      <c r="R37" s="162" t="s">
        <v>27</v>
      </c>
      <c r="S37" s="159">
        <v>31</v>
      </c>
      <c r="T37" s="164">
        <f t="shared" si="3"/>
        <v>2</v>
      </c>
      <c r="U37" s="162" t="s">
        <v>27</v>
      </c>
      <c r="V37" s="165">
        <f t="shared" si="4"/>
        <v>0</v>
      </c>
      <c r="W37" s="166"/>
      <c r="X37" s="162" t="s">
        <v>53</v>
      </c>
      <c r="Y37" s="162" t="s">
        <v>53</v>
      </c>
      <c r="Z37" s="144"/>
      <c r="AA37" s="145" t="s">
        <v>80</v>
      </c>
      <c r="AB37" s="145">
        <v>8</v>
      </c>
      <c r="AC37" s="145" t="s">
        <v>40</v>
      </c>
    </row>
    <row r="38" spans="2:29" ht="12.75">
      <c r="B38" s="145">
        <f>+B34+1</f>
        <v>5</v>
      </c>
      <c r="C38" s="168">
        <f>+Daten!R8</f>
        <v>0.6319444444444446</v>
      </c>
      <c r="D38" s="152">
        <f>+D37+1</f>
        <v>113</v>
      </c>
      <c r="E38" s="152">
        <v>1</v>
      </c>
      <c r="F38" s="158" t="s">
        <v>69</v>
      </c>
      <c r="G38" s="152">
        <v>4</v>
      </c>
      <c r="H38" s="153" t="str">
        <f ca="1" t="shared" si="0"/>
        <v>TSV Bayer Leverkusen</v>
      </c>
      <c r="I38" s="157"/>
      <c r="J38" s="158" t="s">
        <v>69</v>
      </c>
      <c r="K38" s="152">
        <v>5</v>
      </c>
      <c r="L38" s="153" t="str">
        <f ca="1" t="shared" si="1"/>
        <v>TSG Eisenberg</v>
      </c>
      <c r="M38" s="158" t="s">
        <v>69</v>
      </c>
      <c r="N38" s="152">
        <v>1</v>
      </c>
      <c r="O38" s="153" t="str">
        <f ca="1" t="shared" si="2"/>
        <v>VfL Oldenburg</v>
      </c>
      <c r="P38" s="169"/>
      <c r="Q38" s="152">
        <v>43</v>
      </c>
      <c r="R38" s="157" t="s">
        <v>27</v>
      </c>
      <c r="S38" s="152">
        <v>34</v>
      </c>
      <c r="T38" s="170">
        <f t="shared" si="3"/>
        <v>2</v>
      </c>
      <c r="U38" s="157" t="s">
        <v>27</v>
      </c>
      <c r="V38" s="171">
        <f t="shared" si="4"/>
        <v>0</v>
      </c>
      <c r="W38" s="166"/>
      <c r="X38" s="157" t="s">
        <v>53</v>
      </c>
      <c r="Y38" s="157" t="s">
        <v>53</v>
      </c>
      <c r="Z38" s="144"/>
      <c r="AA38" s="145" t="s">
        <v>80</v>
      </c>
      <c r="AB38" s="145">
        <v>9</v>
      </c>
      <c r="AC38" s="145" t="s">
        <v>40</v>
      </c>
    </row>
    <row r="39" spans="2:29" ht="12.75">
      <c r="B39" s="152"/>
      <c r="C39" s="152"/>
      <c r="D39" s="152">
        <f t="shared" si="5"/>
        <v>114</v>
      </c>
      <c r="E39" s="152">
        <v>2</v>
      </c>
      <c r="F39" s="151" t="s">
        <v>69</v>
      </c>
      <c r="G39" s="152">
        <v>14</v>
      </c>
      <c r="H39" s="153" t="str">
        <f ca="1" t="shared" si="0"/>
        <v>TV Höheischweiler</v>
      </c>
      <c r="I39" s="157"/>
      <c r="J39" s="151" t="s">
        <v>69</v>
      </c>
      <c r="K39" s="152">
        <v>15</v>
      </c>
      <c r="L39" s="153" t="str">
        <f ca="1" t="shared" si="1"/>
        <v>TV Niederschelden</v>
      </c>
      <c r="M39" s="151" t="s">
        <v>69</v>
      </c>
      <c r="N39" s="152">
        <v>11</v>
      </c>
      <c r="O39" s="153" t="str">
        <f ca="1" t="shared" si="2"/>
        <v>TSV Burgdorf</v>
      </c>
      <c r="P39" s="169"/>
      <c r="Q39" s="152">
        <v>30</v>
      </c>
      <c r="R39" s="157" t="s">
        <v>27</v>
      </c>
      <c r="S39" s="152">
        <v>15</v>
      </c>
      <c r="T39" s="170">
        <f>IF(Q39="","",IF(Q39&gt;S39,2,IF(Q39&lt;S39,0,1)))</f>
        <v>2</v>
      </c>
      <c r="U39" s="157" t="s">
        <v>27</v>
      </c>
      <c r="V39" s="171">
        <f>IF(S39="","",IF(S39&gt;Q39,2,IF(S39&lt;Q39,0,1)))</f>
        <v>0</v>
      </c>
      <c r="W39" s="166"/>
      <c r="X39" s="157" t="s">
        <v>53</v>
      </c>
      <c r="Y39" s="157" t="s">
        <v>53</v>
      </c>
      <c r="Z39" s="144"/>
      <c r="AA39" s="145" t="s">
        <v>80</v>
      </c>
      <c r="AB39" s="145">
        <v>9</v>
      </c>
      <c r="AC39" s="145" t="s">
        <v>40</v>
      </c>
    </row>
    <row r="40" spans="2:29" ht="12.75">
      <c r="B40" s="145"/>
      <c r="C40" s="150"/>
      <c r="D40" s="152">
        <f t="shared" si="5"/>
        <v>115</v>
      </c>
      <c r="E40" s="152">
        <v>3</v>
      </c>
      <c r="F40" s="158" t="s">
        <v>23</v>
      </c>
      <c r="G40" s="152">
        <v>4</v>
      </c>
      <c r="H40" s="153" t="str">
        <f ca="1" t="shared" si="0"/>
        <v>TV Viersen</v>
      </c>
      <c r="I40" s="157"/>
      <c r="J40" s="158" t="s">
        <v>23</v>
      </c>
      <c r="K40" s="152">
        <v>5</v>
      </c>
      <c r="L40" s="153" t="str">
        <f ca="1" t="shared" si="1"/>
        <v>TSV Krumbach</v>
      </c>
      <c r="M40" s="158" t="s">
        <v>23</v>
      </c>
      <c r="N40" s="152">
        <v>1</v>
      </c>
      <c r="O40" s="153" t="str">
        <f ca="1" t="shared" si="2"/>
        <v>SC Wentorf</v>
      </c>
      <c r="P40" s="169"/>
      <c r="Q40" s="152">
        <v>33</v>
      </c>
      <c r="R40" s="157" t="s">
        <v>27</v>
      </c>
      <c r="S40" s="152">
        <v>30</v>
      </c>
      <c r="T40" s="170">
        <f t="shared" si="3"/>
        <v>2</v>
      </c>
      <c r="U40" s="157" t="s">
        <v>27</v>
      </c>
      <c r="V40" s="171">
        <f t="shared" si="4"/>
        <v>0</v>
      </c>
      <c r="W40" s="166"/>
      <c r="X40" s="157" t="s">
        <v>53</v>
      </c>
      <c r="Y40" s="157" t="s">
        <v>53</v>
      </c>
      <c r="Z40" s="144"/>
      <c r="AA40" s="145" t="s">
        <v>80</v>
      </c>
      <c r="AB40" s="145">
        <v>10</v>
      </c>
      <c r="AC40" s="145" t="s">
        <v>40</v>
      </c>
    </row>
    <row r="41" spans="2:29" ht="12.75">
      <c r="B41" s="159"/>
      <c r="C41" s="159"/>
      <c r="D41" s="159">
        <f t="shared" si="5"/>
        <v>116</v>
      </c>
      <c r="E41" s="159">
        <v>4</v>
      </c>
      <c r="F41" s="160" t="s">
        <v>23</v>
      </c>
      <c r="G41" s="159">
        <v>14</v>
      </c>
      <c r="H41" s="161" t="str">
        <f ca="1" t="shared" si="0"/>
        <v>VT Contwig</v>
      </c>
      <c r="I41" s="162" t="s">
        <v>28</v>
      </c>
      <c r="J41" s="160" t="s">
        <v>23</v>
      </c>
      <c r="K41" s="159">
        <v>15</v>
      </c>
      <c r="L41" s="161" t="str">
        <f ca="1" t="shared" si="1"/>
        <v>TuS Ferndorf</v>
      </c>
      <c r="M41" s="160" t="s">
        <v>23</v>
      </c>
      <c r="N41" s="159">
        <v>11</v>
      </c>
      <c r="O41" s="161" t="str">
        <f ca="1" t="shared" si="2"/>
        <v>TSV Kirchdorf</v>
      </c>
      <c r="P41" s="163"/>
      <c r="Q41" s="159">
        <v>31</v>
      </c>
      <c r="R41" s="162" t="s">
        <v>27</v>
      </c>
      <c r="S41" s="159">
        <v>37</v>
      </c>
      <c r="T41" s="164">
        <f t="shared" si="3"/>
        <v>0</v>
      </c>
      <c r="U41" s="162" t="s">
        <v>27</v>
      </c>
      <c r="V41" s="165">
        <f t="shared" si="4"/>
        <v>2</v>
      </c>
      <c r="W41" s="166"/>
      <c r="X41" s="162" t="s">
        <v>53</v>
      </c>
      <c r="Y41" s="162" t="s">
        <v>53</v>
      </c>
      <c r="Z41" s="144"/>
      <c r="AA41" s="145" t="s">
        <v>80</v>
      </c>
      <c r="AB41" s="145">
        <v>10</v>
      </c>
      <c r="AC41" s="145" t="s">
        <v>40</v>
      </c>
    </row>
    <row r="42" spans="1:29" ht="12.75">
      <c r="A42" s="145"/>
      <c r="B42" s="145">
        <f>+B38+1</f>
        <v>6</v>
      </c>
      <c r="C42" s="168">
        <f>+Daten!R9</f>
        <v>0.6493055555555558</v>
      </c>
      <c r="D42" s="152">
        <f>+D41+1</f>
        <v>117</v>
      </c>
      <c r="E42" s="152">
        <v>1</v>
      </c>
      <c r="F42" s="158" t="s">
        <v>69</v>
      </c>
      <c r="G42" s="145">
        <v>1</v>
      </c>
      <c r="H42" s="153" t="str">
        <f ca="1" t="shared" si="0"/>
        <v>VfL Oldenburg</v>
      </c>
      <c r="I42" s="154" t="s">
        <v>28</v>
      </c>
      <c r="J42" s="158" t="s">
        <v>69</v>
      </c>
      <c r="K42" s="145">
        <v>3</v>
      </c>
      <c r="L42" s="153" t="str">
        <f ca="1" t="shared" si="1"/>
        <v>Eiserfelder TV</v>
      </c>
      <c r="M42" s="158" t="s">
        <v>69</v>
      </c>
      <c r="N42" s="145">
        <v>2</v>
      </c>
      <c r="O42" s="153" t="str">
        <f ca="1" t="shared" si="2"/>
        <v>TV Bremen 1875</v>
      </c>
      <c r="P42" s="169"/>
      <c r="Q42" s="152">
        <v>33</v>
      </c>
      <c r="R42" s="157" t="s">
        <v>27</v>
      </c>
      <c r="S42" s="152">
        <v>46</v>
      </c>
      <c r="T42" s="170">
        <f t="shared" si="3"/>
        <v>0</v>
      </c>
      <c r="U42" s="157" t="s">
        <v>27</v>
      </c>
      <c r="V42" s="171">
        <f t="shared" si="4"/>
        <v>2</v>
      </c>
      <c r="W42" s="166"/>
      <c r="X42" s="157" t="s">
        <v>53</v>
      </c>
      <c r="Y42" s="157" t="s">
        <v>53</v>
      </c>
      <c r="Z42" s="144"/>
      <c r="AA42" s="145" t="s">
        <v>80</v>
      </c>
      <c r="AB42" s="145">
        <v>11</v>
      </c>
      <c r="AC42" s="145" t="s">
        <v>40</v>
      </c>
    </row>
    <row r="43" spans="1:29" ht="12.75">
      <c r="A43" s="145"/>
      <c r="B43" s="152"/>
      <c r="C43" s="152"/>
      <c r="D43" s="152">
        <f t="shared" si="5"/>
        <v>118</v>
      </c>
      <c r="E43" s="152">
        <v>2</v>
      </c>
      <c r="F43" s="151" t="s">
        <v>69</v>
      </c>
      <c r="G43" s="152">
        <v>11</v>
      </c>
      <c r="H43" s="153" t="str">
        <f ca="1" t="shared" si="0"/>
        <v>TSV Burgdorf</v>
      </c>
      <c r="I43" s="157" t="s">
        <v>28</v>
      </c>
      <c r="J43" s="151" t="s">
        <v>69</v>
      </c>
      <c r="K43" s="152">
        <v>13</v>
      </c>
      <c r="L43" s="153" t="str">
        <f ca="1" t="shared" si="1"/>
        <v>TV Cramberg</v>
      </c>
      <c r="M43" s="151" t="s">
        <v>69</v>
      </c>
      <c r="N43" s="152">
        <v>12</v>
      </c>
      <c r="O43" s="153" t="str">
        <f ca="1" t="shared" si="2"/>
        <v>SV Werder Bremen</v>
      </c>
      <c r="P43" s="169"/>
      <c r="Q43" s="152">
        <v>26</v>
      </c>
      <c r="R43" s="157" t="s">
        <v>27</v>
      </c>
      <c r="S43" s="152">
        <v>33</v>
      </c>
      <c r="T43" s="170">
        <f>IF(Q43="","",IF(Q43&gt;S43,2,IF(Q43&lt;S43,0,1)))</f>
        <v>0</v>
      </c>
      <c r="U43" s="157" t="s">
        <v>27</v>
      </c>
      <c r="V43" s="171">
        <f>IF(S43="","",IF(S43&gt;Q43,2,IF(S43&lt;Q43,0,1)))</f>
        <v>2</v>
      </c>
      <c r="W43" s="166"/>
      <c r="X43" s="157" t="s">
        <v>53</v>
      </c>
      <c r="Y43" s="157" t="s">
        <v>53</v>
      </c>
      <c r="Z43" s="144"/>
      <c r="AA43" s="145" t="s">
        <v>80</v>
      </c>
      <c r="AB43" s="145">
        <v>11</v>
      </c>
      <c r="AC43" s="145" t="s">
        <v>40</v>
      </c>
    </row>
    <row r="44" spans="1:29" ht="12.75">
      <c r="A44" s="145"/>
      <c r="B44" s="145"/>
      <c r="C44" s="150"/>
      <c r="D44" s="152">
        <f t="shared" si="5"/>
        <v>119</v>
      </c>
      <c r="E44" s="152">
        <v>3</v>
      </c>
      <c r="F44" s="158" t="s">
        <v>23</v>
      </c>
      <c r="G44" s="152">
        <v>1</v>
      </c>
      <c r="H44" s="153" t="str">
        <f ca="1" t="shared" si="0"/>
        <v>SC Wentorf</v>
      </c>
      <c r="I44" s="154" t="s">
        <v>28</v>
      </c>
      <c r="J44" s="158" t="s">
        <v>23</v>
      </c>
      <c r="K44" s="152">
        <v>3</v>
      </c>
      <c r="L44" s="153" t="str">
        <f ca="1" t="shared" si="1"/>
        <v>Haaner TB</v>
      </c>
      <c r="M44" s="158" t="s">
        <v>23</v>
      </c>
      <c r="N44" s="152">
        <v>2</v>
      </c>
      <c r="O44" s="153" t="str">
        <f ca="1" t="shared" si="2"/>
        <v>SF Ricklingen</v>
      </c>
      <c r="Q44" s="152">
        <v>31</v>
      </c>
      <c r="R44" s="157" t="s">
        <v>27</v>
      </c>
      <c r="S44" s="152">
        <v>35</v>
      </c>
      <c r="T44" s="170">
        <f t="shared" si="3"/>
        <v>0</v>
      </c>
      <c r="U44" s="157" t="s">
        <v>27</v>
      </c>
      <c r="V44" s="171">
        <f t="shared" si="4"/>
        <v>2</v>
      </c>
      <c r="W44" s="166"/>
      <c r="X44" s="157" t="s">
        <v>53</v>
      </c>
      <c r="Y44" s="157" t="s">
        <v>53</v>
      </c>
      <c r="Z44" s="144"/>
      <c r="AA44" s="145" t="s">
        <v>80</v>
      </c>
      <c r="AB44" s="145">
        <v>12</v>
      </c>
      <c r="AC44" s="145" t="s">
        <v>40</v>
      </c>
    </row>
    <row r="45" spans="1:29" ht="12.75">
      <c r="A45" s="145"/>
      <c r="B45" s="172"/>
      <c r="C45" s="172"/>
      <c r="D45" s="172">
        <f t="shared" si="5"/>
        <v>120</v>
      </c>
      <c r="E45" s="172">
        <v>4</v>
      </c>
      <c r="F45" s="160" t="s">
        <v>23</v>
      </c>
      <c r="G45" s="159">
        <v>11</v>
      </c>
      <c r="H45" s="161" t="str">
        <f ca="1" t="shared" si="0"/>
        <v>TSV Kirchdorf</v>
      </c>
      <c r="I45" s="162" t="s">
        <v>28</v>
      </c>
      <c r="J45" s="160" t="s">
        <v>23</v>
      </c>
      <c r="K45" s="159">
        <v>13</v>
      </c>
      <c r="L45" s="161" t="str">
        <f ca="1" t="shared" si="1"/>
        <v>TV Edingen</v>
      </c>
      <c r="M45" s="160" t="s">
        <v>23</v>
      </c>
      <c r="N45" s="159">
        <v>12</v>
      </c>
      <c r="O45" s="161" t="str">
        <f ca="1" t="shared" si="2"/>
        <v>SV Werder Bremen</v>
      </c>
      <c r="P45" s="196"/>
      <c r="Q45" s="172">
        <v>31</v>
      </c>
      <c r="R45" s="167" t="s">
        <v>27</v>
      </c>
      <c r="S45" s="172">
        <v>33</v>
      </c>
      <c r="T45" s="175">
        <f t="shared" si="3"/>
        <v>0</v>
      </c>
      <c r="U45" s="167" t="s">
        <v>27</v>
      </c>
      <c r="V45" s="176">
        <f t="shared" si="4"/>
        <v>2</v>
      </c>
      <c r="W45" s="166"/>
      <c r="X45" s="162" t="s">
        <v>53</v>
      </c>
      <c r="Y45" s="162" t="s">
        <v>53</v>
      </c>
      <c r="Z45" s="144"/>
      <c r="AA45" s="145" t="s">
        <v>80</v>
      </c>
      <c r="AB45" s="145">
        <v>12</v>
      </c>
      <c r="AC45" s="145" t="s">
        <v>40</v>
      </c>
    </row>
    <row r="46" spans="2:29" ht="12.75">
      <c r="B46" s="145">
        <f>+B42+1</f>
        <v>7</v>
      </c>
      <c r="C46" s="168">
        <f>+Daten!R10</f>
        <v>0.666666666666667</v>
      </c>
      <c r="D46" s="152">
        <f>+D45+1</f>
        <v>121</v>
      </c>
      <c r="E46" s="152">
        <v>1</v>
      </c>
      <c r="F46" s="158" t="s">
        <v>69</v>
      </c>
      <c r="G46" s="145">
        <v>2</v>
      </c>
      <c r="H46" s="153" t="str">
        <f ca="1" t="shared" si="6" ref="H46:H61">INDIRECT(ADDRESS(MATCH(G46,$A$1:$A$19,0),MATCH(F46,$A$3:$AE$3,0)))</f>
        <v>TV Bremen 1875</v>
      </c>
      <c r="I46" s="154" t="s">
        <v>28</v>
      </c>
      <c r="J46" s="158" t="s">
        <v>69</v>
      </c>
      <c r="K46" s="145">
        <v>4</v>
      </c>
      <c r="L46" s="153" t="str">
        <f ca="1" t="shared" si="7" ref="L46:L61">INDIRECT(ADDRESS(MATCH(K46,$A$1:$A$19,0),MATCH(J46,$A$3:$AE$3,0)))</f>
        <v>TSV Bayer Leverkusen</v>
      </c>
      <c r="M46" s="158" t="s">
        <v>69</v>
      </c>
      <c r="N46" s="145">
        <v>5</v>
      </c>
      <c r="O46" s="153" t="str">
        <f ca="1" t="shared" si="8" ref="O46:O61">INDIRECT(ADDRESS(MATCH(N46,$A$1:$A$19,0),MATCH(M46,$A$3:$AE$3,0)))</f>
        <v>TSG Eisenberg</v>
      </c>
      <c r="P46" s="169"/>
      <c r="Q46" s="152">
        <v>28</v>
      </c>
      <c r="R46" s="157" t="s">
        <v>27</v>
      </c>
      <c r="S46" s="152">
        <v>40</v>
      </c>
      <c r="T46" s="170">
        <f t="shared" si="3"/>
        <v>0</v>
      </c>
      <c r="U46" s="157" t="s">
        <v>27</v>
      </c>
      <c r="V46" s="171">
        <f t="shared" si="4"/>
        <v>2</v>
      </c>
      <c r="W46" s="166"/>
      <c r="X46" s="157" t="s">
        <v>53</v>
      </c>
      <c r="Y46" s="157" t="s">
        <v>53</v>
      </c>
      <c r="Z46" s="144"/>
      <c r="AA46" s="145" t="s">
        <v>95</v>
      </c>
      <c r="AB46" s="145">
        <v>1</v>
      </c>
      <c r="AC46" s="145" t="s">
        <v>40</v>
      </c>
    </row>
    <row r="47" spans="2:29" ht="12.75">
      <c r="B47" s="152"/>
      <c r="C47" s="152"/>
      <c r="D47" s="152">
        <f t="shared" si="5"/>
        <v>122</v>
      </c>
      <c r="E47" s="152">
        <v>2</v>
      </c>
      <c r="F47" s="151" t="s">
        <v>69</v>
      </c>
      <c r="G47" s="152">
        <v>12</v>
      </c>
      <c r="H47" s="153" t="str">
        <f ca="1" t="shared" si="6"/>
        <v>SV Werder Bremen</v>
      </c>
      <c r="I47" s="157" t="s">
        <v>28</v>
      </c>
      <c r="J47" s="151" t="s">
        <v>69</v>
      </c>
      <c r="K47" s="152">
        <v>14</v>
      </c>
      <c r="L47" s="153" t="str">
        <f ca="1" t="shared" si="7"/>
        <v>TV Höheischweiler</v>
      </c>
      <c r="M47" s="151" t="s">
        <v>69</v>
      </c>
      <c r="N47" s="152">
        <v>15</v>
      </c>
      <c r="O47" s="153" t="str">
        <f ca="1" t="shared" si="8"/>
        <v>TV Niederschelden</v>
      </c>
      <c r="P47" s="169"/>
      <c r="Q47" s="152">
        <v>48</v>
      </c>
      <c r="R47" s="157" t="s">
        <v>27</v>
      </c>
      <c r="S47" s="152">
        <v>30</v>
      </c>
      <c r="T47" s="170">
        <f>IF(Q47="","",IF(Q47&gt;S47,2,IF(Q47&lt;S47,0,1)))</f>
        <v>2</v>
      </c>
      <c r="U47" s="157" t="s">
        <v>27</v>
      </c>
      <c r="V47" s="171">
        <f>IF(S47="","",IF(S47&gt;Q47,2,IF(S47&lt;Q47,0,1)))</f>
        <v>0</v>
      </c>
      <c r="W47" s="166"/>
      <c r="X47" s="157" t="s">
        <v>53</v>
      </c>
      <c r="Y47" s="157" t="s">
        <v>53</v>
      </c>
      <c r="Z47" s="166"/>
      <c r="AA47" s="145" t="s">
        <v>95</v>
      </c>
      <c r="AB47" s="145">
        <v>1</v>
      </c>
      <c r="AC47" s="145" t="s">
        <v>40</v>
      </c>
    </row>
    <row r="48" spans="2:29" ht="12.75">
      <c r="B48" s="145"/>
      <c r="C48" s="150"/>
      <c r="D48" s="152">
        <f t="shared" si="5"/>
        <v>123</v>
      </c>
      <c r="E48" s="152">
        <v>3</v>
      </c>
      <c r="F48" s="158" t="s">
        <v>23</v>
      </c>
      <c r="G48" s="152">
        <v>2</v>
      </c>
      <c r="H48" s="153" t="str">
        <f ca="1" t="shared" si="6"/>
        <v>SF Ricklingen</v>
      </c>
      <c r="I48" s="154" t="s">
        <v>28</v>
      </c>
      <c r="J48" s="158" t="s">
        <v>23</v>
      </c>
      <c r="K48" s="152">
        <v>4</v>
      </c>
      <c r="L48" s="153" t="str">
        <f ca="1" t="shared" si="7"/>
        <v>TV Viersen</v>
      </c>
      <c r="M48" s="158" t="s">
        <v>23</v>
      </c>
      <c r="N48" s="152">
        <v>5</v>
      </c>
      <c r="O48" s="153" t="str">
        <f ca="1" t="shared" si="8"/>
        <v>TSV Krumbach</v>
      </c>
      <c r="P48" s="169"/>
      <c r="Q48" s="152">
        <v>31</v>
      </c>
      <c r="R48" s="157" t="s">
        <v>27</v>
      </c>
      <c r="S48" s="152">
        <v>36</v>
      </c>
      <c r="T48" s="170">
        <f t="shared" si="3"/>
        <v>0</v>
      </c>
      <c r="U48" s="157" t="s">
        <v>27</v>
      </c>
      <c r="V48" s="171">
        <f t="shared" si="4"/>
        <v>2</v>
      </c>
      <c r="W48" s="166"/>
      <c r="X48" s="157" t="s">
        <v>53</v>
      </c>
      <c r="Y48" s="157" t="s">
        <v>53</v>
      </c>
      <c r="Z48" s="144"/>
      <c r="AA48" s="145" t="s">
        <v>95</v>
      </c>
      <c r="AB48" s="145">
        <v>2</v>
      </c>
      <c r="AC48" s="145" t="s">
        <v>40</v>
      </c>
    </row>
    <row r="49" spans="2:29" ht="12.75">
      <c r="B49" s="159"/>
      <c r="C49" s="159"/>
      <c r="D49" s="159">
        <f t="shared" si="5"/>
        <v>124</v>
      </c>
      <c r="E49" s="172">
        <v>4</v>
      </c>
      <c r="F49" s="160" t="s">
        <v>23</v>
      </c>
      <c r="G49" s="159">
        <v>12</v>
      </c>
      <c r="H49" s="161" t="str">
        <f ca="1" t="shared" si="6"/>
        <v>SV Werder Bremen</v>
      </c>
      <c r="I49" s="162" t="s">
        <v>28</v>
      </c>
      <c r="J49" s="160" t="s">
        <v>23</v>
      </c>
      <c r="K49" s="159">
        <v>14</v>
      </c>
      <c r="L49" s="161" t="str">
        <f ca="1" t="shared" si="7"/>
        <v>VT Contwig</v>
      </c>
      <c r="M49" s="160" t="s">
        <v>23</v>
      </c>
      <c r="N49" s="159">
        <v>15</v>
      </c>
      <c r="O49" s="161" t="str">
        <f ca="1" t="shared" si="8"/>
        <v>TuS Ferndorf</v>
      </c>
      <c r="P49" s="163"/>
      <c r="Q49" s="159">
        <v>39</v>
      </c>
      <c r="R49" s="162" t="s">
        <v>27</v>
      </c>
      <c r="S49" s="159">
        <v>32</v>
      </c>
      <c r="T49" s="164">
        <f t="shared" si="3"/>
        <v>2</v>
      </c>
      <c r="U49" s="162" t="s">
        <v>27</v>
      </c>
      <c r="V49" s="165">
        <f t="shared" si="4"/>
        <v>0</v>
      </c>
      <c r="W49" s="166"/>
      <c r="X49" s="162" t="s">
        <v>53</v>
      </c>
      <c r="Y49" s="162" t="s">
        <v>53</v>
      </c>
      <c r="Z49" s="144"/>
      <c r="AA49" s="145" t="s">
        <v>95</v>
      </c>
      <c r="AB49" s="145">
        <v>2</v>
      </c>
      <c r="AC49" s="145" t="s">
        <v>40</v>
      </c>
    </row>
    <row r="50" spans="2:29" ht="12.75">
      <c r="B50" s="145">
        <f>+B46+1</f>
        <v>8</v>
      </c>
      <c r="C50" s="168">
        <f>+Daten!R11</f>
        <v>0.6840277777777781</v>
      </c>
      <c r="D50" s="152">
        <f>+D49+1</f>
        <v>125</v>
      </c>
      <c r="E50" s="152">
        <v>1</v>
      </c>
      <c r="F50" s="158" t="s">
        <v>69</v>
      </c>
      <c r="G50" s="145">
        <v>3</v>
      </c>
      <c r="H50" s="153" t="str">
        <f ca="1" t="shared" si="6"/>
        <v>Eiserfelder TV</v>
      </c>
      <c r="I50" s="154" t="s">
        <v>28</v>
      </c>
      <c r="J50" s="158" t="s">
        <v>69</v>
      </c>
      <c r="K50" s="145">
        <v>5</v>
      </c>
      <c r="L50" s="153" t="str">
        <f ca="1" t="shared" si="7"/>
        <v>TSG Eisenberg</v>
      </c>
      <c r="M50" s="158" t="s">
        <v>69</v>
      </c>
      <c r="N50" s="145">
        <v>1</v>
      </c>
      <c r="O50" s="153" t="str">
        <f ca="1" t="shared" si="8"/>
        <v>VfL Oldenburg</v>
      </c>
      <c r="P50" s="169"/>
      <c r="Q50" s="152">
        <v>37</v>
      </c>
      <c r="R50" s="157" t="s">
        <v>27</v>
      </c>
      <c r="S50" s="152">
        <v>30</v>
      </c>
      <c r="T50" s="170">
        <f t="shared" si="3"/>
        <v>2</v>
      </c>
      <c r="U50" s="157" t="s">
        <v>27</v>
      </c>
      <c r="V50" s="171">
        <f t="shared" si="4"/>
        <v>0</v>
      </c>
      <c r="W50" s="166"/>
      <c r="X50" s="157" t="s">
        <v>53</v>
      </c>
      <c r="Y50" s="157" t="s">
        <v>53</v>
      </c>
      <c r="Z50" s="144"/>
      <c r="AA50" s="145" t="s">
        <v>95</v>
      </c>
      <c r="AB50" s="145">
        <v>3</v>
      </c>
      <c r="AC50" s="145" t="s">
        <v>40</v>
      </c>
    </row>
    <row r="51" spans="2:29" ht="12.75">
      <c r="B51" s="152"/>
      <c r="C51" s="152"/>
      <c r="D51" s="152">
        <f t="shared" si="5"/>
        <v>126</v>
      </c>
      <c r="E51" s="152">
        <v>2</v>
      </c>
      <c r="F51" s="151" t="s">
        <v>69</v>
      </c>
      <c r="G51" s="152">
        <v>13</v>
      </c>
      <c r="H51" s="153" t="str">
        <f ca="1" t="shared" si="6"/>
        <v>TV Cramberg</v>
      </c>
      <c r="I51" s="157" t="s">
        <v>28</v>
      </c>
      <c r="J51" s="151" t="s">
        <v>69</v>
      </c>
      <c r="K51" s="152">
        <v>15</v>
      </c>
      <c r="L51" s="153" t="str">
        <f ca="1" t="shared" si="7"/>
        <v>TV Niederschelden</v>
      </c>
      <c r="M51" s="151" t="s">
        <v>69</v>
      </c>
      <c r="N51" s="152">
        <v>11</v>
      </c>
      <c r="O51" s="153" t="str">
        <f ca="1" t="shared" si="8"/>
        <v>TSV Burgdorf</v>
      </c>
      <c r="P51" s="169"/>
      <c r="Q51" s="152">
        <v>30</v>
      </c>
      <c r="R51" s="157" t="s">
        <v>27</v>
      </c>
      <c r="S51" s="152">
        <v>15</v>
      </c>
      <c r="T51" s="170">
        <f>IF(Q51="","",IF(Q51&gt;S51,2,IF(Q51&lt;S51,0,1)))</f>
        <v>2</v>
      </c>
      <c r="U51" s="157" t="s">
        <v>27</v>
      </c>
      <c r="V51" s="171">
        <f>IF(S51="","",IF(S51&gt;Q51,2,IF(S51&lt;Q51,0,1)))</f>
        <v>0</v>
      </c>
      <c r="W51" s="166"/>
      <c r="X51" s="157" t="s">
        <v>53</v>
      </c>
      <c r="Y51" s="157" t="s">
        <v>53</v>
      </c>
      <c r="Z51" s="144"/>
      <c r="AA51" s="145" t="s">
        <v>95</v>
      </c>
      <c r="AB51" s="145">
        <v>3</v>
      </c>
      <c r="AC51" s="145" t="s">
        <v>40</v>
      </c>
    </row>
    <row r="52" spans="2:29" ht="12.75">
      <c r="B52" s="152"/>
      <c r="C52" s="168"/>
      <c r="D52" s="152">
        <f t="shared" si="5"/>
        <v>127</v>
      </c>
      <c r="E52" s="152">
        <v>3</v>
      </c>
      <c r="F52" s="158" t="s">
        <v>23</v>
      </c>
      <c r="G52" s="152">
        <v>3</v>
      </c>
      <c r="H52" s="153" t="str">
        <f ca="1" t="shared" si="6"/>
        <v>Haaner TB</v>
      </c>
      <c r="I52" s="157" t="s">
        <v>28</v>
      </c>
      <c r="J52" s="158" t="s">
        <v>23</v>
      </c>
      <c r="K52" s="152">
        <v>5</v>
      </c>
      <c r="L52" s="153" t="str">
        <f ca="1" t="shared" si="7"/>
        <v>TSV Krumbach</v>
      </c>
      <c r="M52" s="158" t="s">
        <v>23</v>
      </c>
      <c r="N52" s="152">
        <v>1</v>
      </c>
      <c r="O52" s="153" t="str">
        <f ca="1" t="shared" si="8"/>
        <v>SC Wentorf</v>
      </c>
      <c r="P52" s="169"/>
      <c r="Q52" s="152">
        <v>29</v>
      </c>
      <c r="R52" s="157" t="s">
        <v>27</v>
      </c>
      <c r="S52" s="152">
        <v>41</v>
      </c>
      <c r="T52" s="170">
        <f t="shared" si="3"/>
        <v>0</v>
      </c>
      <c r="U52" s="157" t="s">
        <v>27</v>
      </c>
      <c r="V52" s="171">
        <f t="shared" si="4"/>
        <v>2</v>
      </c>
      <c r="W52" s="166"/>
      <c r="X52" s="157" t="s">
        <v>53</v>
      </c>
      <c r="Y52" s="157" t="s">
        <v>53</v>
      </c>
      <c r="Z52" s="144"/>
      <c r="AA52" s="145" t="s">
        <v>95</v>
      </c>
      <c r="AB52" s="145">
        <v>4</v>
      </c>
      <c r="AC52" s="145" t="s">
        <v>40</v>
      </c>
    </row>
    <row r="53" spans="2:29" ht="12.75">
      <c r="B53" s="159"/>
      <c r="C53" s="159"/>
      <c r="D53" s="159">
        <f t="shared" si="5"/>
        <v>128</v>
      </c>
      <c r="E53" s="172">
        <v>4</v>
      </c>
      <c r="F53" s="160" t="s">
        <v>23</v>
      </c>
      <c r="G53" s="159">
        <v>13</v>
      </c>
      <c r="H53" s="161" t="str">
        <f ca="1" t="shared" si="6"/>
        <v>TV Edingen</v>
      </c>
      <c r="I53" s="162" t="s">
        <v>28</v>
      </c>
      <c r="J53" s="160" t="s">
        <v>23</v>
      </c>
      <c r="K53" s="159">
        <v>15</v>
      </c>
      <c r="L53" s="161" t="str">
        <f ca="1" t="shared" si="7"/>
        <v>TuS Ferndorf</v>
      </c>
      <c r="M53" s="160" t="s">
        <v>23</v>
      </c>
      <c r="N53" s="159">
        <v>11</v>
      </c>
      <c r="O53" s="161" t="str">
        <f ca="1" t="shared" si="8"/>
        <v>TSV Kirchdorf</v>
      </c>
      <c r="P53" s="163"/>
      <c r="Q53" s="159">
        <v>29</v>
      </c>
      <c r="R53" s="162" t="s">
        <v>27</v>
      </c>
      <c r="S53" s="159">
        <v>45</v>
      </c>
      <c r="T53" s="164">
        <f t="shared" si="3"/>
        <v>0</v>
      </c>
      <c r="U53" s="162" t="s">
        <v>27</v>
      </c>
      <c r="V53" s="165">
        <f t="shared" si="4"/>
        <v>2</v>
      </c>
      <c r="W53" s="166"/>
      <c r="X53" s="162" t="s">
        <v>53</v>
      </c>
      <c r="Y53" s="162" t="s">
        <v>53</v>
      </c>
      <c r="Z53" s="144"/>
      <c r="AA53" s="145" t="s">
        <v>95</v>
      </c>
      <c r="AB53" s="145">
        <v>4</v>
      </c>
      <c r="AC53" s="145" t="s">
        <v>40</v>
      </c>
    </row>
    <row r="54" spans="2:29" ht="12.75">
      <c r="B54" s="145">
        <f>+B50+1</f>
        <v>9</v>
      </c>
      <c r="C54" s="168">
        <f>+Daten!R12</f>
        <v>0.7013888888888893</v>
      </c>
      <c r="D54" s="152">
        <f>+D53+1</f>
        <v>129</v>
      </c>
      <c r="E54" s="152">
        <v>1</v>
      </c>
      <c r="F54" s="158" t="s">
        <v>69</v>
      </c>
      <c r="G54" s="145">
        <v>1</v>
      </c>
      <c r="H54" s="153" t="str">
        <f ca="1" t="shared" si="6"/>
        <v>VfL Oldenburg</v>
      </c>
      <c r="I54" s="154" t="s">
        <v>28</v>
      </c>
      <c r="J54" s="158" t="s">
        <v>69</v>
      </c>
      <c r="K54" s="145">
        <v>4</v>
      </c>
      <c r="L54" s="153" t="str">
        <f ca="1" t="shared" si="7"/>
        <v>TSV Bayer Leverkusen</v>
      </c>
      <c r="M54" s="158" t="s">
        <v>69</v>
      </c>
      <c r="N54" s="145">
        <v>3</v>
      </c>
      <c r="O54" s="153" t="str">
        <f ca="1" t="shared" si="8"/>
        <v>Eiserfelder TV</v>
      </c>
      <c r="P54" s="169"/>
      <c r="Q54" s="152">
        <v>29</v>
      </c>
      <c r="R54" s="157" t="s">
        <v>27</v>
      </c>
      <c r="S54" s="152">
        <v>44</v>
      </c>
      <c r="T54" s="170">
        <f aca="true" t="shared" si="9" ref="T54:T61">IF(Q54="","",IF(Q54&gt;S54,2,IF(Q54&lt;S54,0,1)))</f>
        <v>0</v>
      </c>
      <c r="U54" s="157" t="s">
        <v>27</v>
      </c>
      <c r="V54" s="171">
        <f aca="true" t="shared" si="10" ref="V54:V61">IF(S54="","",IF(S54&gt;Q54,2,IF(S54&lt;Q54,0,1)))</f>
        <v>2</v>
      </c>
      <c r="W54" s="166"/>
      <c r="X54" s="157" t="s">
        <v>53</v>
      </c>
      <c r="Y54" s="157" t="s">
        <v>53</v>
      </c>
      <c r="Z54" s="144"/>
      <c r="AA54" s="145" t="s">
        <v>95</v>
      </c>
      <c r="AB54" s="145">
        <v>5</v>
      </c>
      <c r="AC54" s="145" t="s">
        <v>40</v>
      </c>
    </row>
    <row r="55" spans="2:29" ht="12.75">
      <c r="B55" s="152"/>
      <c r="C55" s="152"/>
      <c r="D55" s="152">
        <f t="shared" si="5"/>
        <v>130</v>
      </c>
      <c r="E55" s="152">
        <v>2</v>
      </c>
      <c r="F55" s="151" t="s">
        <v>69</v>
      </c>
      <c r="G55" s="152">
        <v>11</v>
      </c>
      <c r="H55" s="153" t="str">
        <f ca="1" t="shared" si="6"/>
        <v>TSV Burgdorf</v>
      </c>
      <c r="I55" s="157" t="s">
        <v>28</v>
      </c>
      <c r="J55" s="151" t="s">
        <v>69</v>
      </c>
      <c r="K55" s="152">
        <v>14</v>
      </c>
      <c r="L55" s="153" t="str">
        <f ca="1" t="shared" si="7"/>
        <v>TV Höheischweiler</v>
      </c>
      <c r="M55" s="151" t="s">
        <v>69</v>
      </c>
      <c r="N55" s="152">
        <v>11</v>
      </c>
      <c r="O55" s="153" t="str">
        <f ca="1" t="shared" si="8"/>
        <v>TSV Burgdorf</v>
      </c>
      <c r="P55" s="169"/>
      <c r="Q55" s="152">
        <v>32</v>
      </c>
      <c r="R55" s="157" t="s">
        <v>27</v>
      </c>
      <c r="S55" s="152">
        <v>30</v>
      </c>
      <c r="T55" s="170">
        <f t="shared" si="9"/>
        <v>2</v>
      </c>
      <c r="U55" s="157" t="s">
        <v>27</v>
      </c>
      <c r="V55" s="171">
        <f t="shared" si="10"/>
        <v>0</v>
      </c>
      <c r="W55" s="166"/>
      <c r="X55" s="157" t="s">
        <v>53</v>
      </c>
      <c r="Y55" s="157" t="s">
        <v>53</v>
      </c>
      <c r="Z55" s="166"/>
      <c r="AA55" s="145" t="s">
        <v>95</v>
      </c>
      <c r="AB55" s="145">
        <v>5</v>
      </c>
      <c r="AC55" s="145" t="s">
        <v>40</v>
      </c>
    </row>
    <row r="56" spans="2:29" ht="12.75">
      <c r="B56" s="145"/>
      <c r="C56" s="150"/>
      <c r="D56" s="152">
        <f t="shared" si="5"/>
        <v>131</v>
      </c>
      <c r="E56" s="152">
        <v>3</v>
      </c>
      <c r="F56" s="158" t="s">
        <v>23</v>
      </c>
      <c r="G56" s="145">
        <v>1</v>
      </c>
      <c r="H56" s="153" t="str">
        <f ca="1" t="shared" si="6"/>
        <v>SC Wentorf</v>
      </c>
      <c r="I56" s="154" t="s">
        <v>28</v>
      </c>
      <c r="J56" s="158" t="s">
        <v>23</v>
      </c>
      <c r="K56" s="145">
        <v>4</v>
      </c>
      <c r="L56" s="153" t="str">
        <f ca="1" t="shared" si="7"/>
        <v>TV Viersen</v>
      </c>
      <c r="M56" s="158" t="s">
        <v>23</v>
      </c>
      <c r="N56" s="145">
        <v>3</v>
      </c>
      <c r="O56" s="153" t="str">
        <f ca="1" t="shared" si="8"/>
        <v>Haaner TB</v>
      </c>
      <c r="P56" s="169"/>
      <c r="Q56" s="152">
        <v>31</v>
      </c>
      <c r="R56" s="157" t="s">
        <v>27</v>
      </c>
      <c r="S56" s="152">
        <v>46</v>
      </c>
      <c r="T56" s="170">
        <f t="shared" si="9"/>
        <v>0</v>
      </c>
      <c r="U56" s="157" t="s">
        <v>27</v>
      </c>
      <c r="V56" s="171">
        <f t="shared" si="10"/>
        <v>2</v>
      </c>
      <c r="W56" s="166"/>
      <c r="X56" s="157" t="s">
        <v>53</v>
      </c>
      <c r="Y56" s="157" t="s">
        <v>53</v>
      </c>
      <c r="Z56" s="144"/>
      <c r="AA56" s="145" t="s">
        <v>95</v>
      </c>
      <c r="AB56" s="145">
        <v>6</v>
      </c>
      <c r="AC56" s="145" t="s">
        <v>40</v>
      </c>
    </row>
    <row r="57" spans="2:29" ht="12.75">
      <c r="B57" s="159"/>
      <c r="C57" s="159"/>
      <c r="D57" s="159">
        <f t="shared" si="5"/>
        <v>132</v>
      </c>
      <c r="E57" s="172">
        <v>4</v>
      </c>
      <c r="F57" s="160" t="s">
        <v>23</v>
      </c>
      <c r="G57" s="159">
        <v>11</v>
      </c>
      <c r="H57" s="161" t="str">
        <f ca="1" t="shared" si="6"/>
        <v>TSV Kirchdorf</v>
      </c>
      <c r="I57" s="162" t="s">
        <v>28</v>
      </c>
      <c r="J57" s="160" t="s">
        <v>23</v>
      </c>
      <c r="K57" s="159">
        <v>14</v>
      </c>
      <c r="L57" s="161" t="str">
        <f ca="1" t="shared" si="7"/>
        <v>VT Contwig</v>
      </c>
      <c r="M57" s="160" t="s">
        <v>23</v>
      </c>
      <c r="N57" s="159">
        <v>13</v>
      </c>
      <c r="O57" s="161" t="str">
        <f ca="1" t="shared" si="8"/>
        <v>TV Edingen</v>
      </c>
      <c r="P57" s="163"/>
      <c r="Q57" s="159">
        <v>34</v>
      </c>
      <c r="R57" s="162" t="s">
        <v>27</v>
      </c>
      <c r="S57" s="159">
        <v>32</v>
      </c>
      <c r="T57" s="164">
        <f t="shared" si="9"/>
        <v>2</v>
      </c>
      <c r="U57" s="162" t="s">
        <v>27</v>
      </c>
      <c r="V57" s="165">
        <f t="shared" si="10"/>
        <v>0</v>
      </c>
      <c r="W57" s="166"/>
      <c r="X57" s="162" t="s">
        <v>53</v>
      </c>
      <c r="Y57" s="162" t="s">
        <v>53</v>
      </c>
      <c r="Z57" s="144"/>
      <c r="AA57" s="145" t="s">
        <v>95</v>
      </c>
      <c r="AB57" s="145">
        <v>6</v>
      </c>
      <c r="AC57" s="145" t="s">
        <v>40</v>
      </c>
    </row>
    <row r="58" spans="2:29" ht="12.75">
      <c r="B58" s="145">
        <f>+B54+1</f>
        <v>10</v>
      </c>
      <c r="C58" s="168">
        <f>+Daten!R13</f>
        <v>0.7187500000000004</v>
      </c>
      <c r="D58" s="152">
        <f>+D57+1</f>
        <v>133</v>
      </c>
      <c r="E58" s="152">
        <v>1</v>
      </c>
      <c r="F58" s="158" t="s">
        <v>69</v>
      </c>
      <c r="G58" s="152">
        <v>2</v>
      </c>
      <c r="H58" s="153" t="str">
        <f ca="1" t="shared" si="6"/>
        <v>TV Bremen 1875</v>
      </c>
      <c r="I58" s="157" t="s">
        <v>28</v>
      </c>
      <c r="J58" s="158" t="s">
        <v>69</v>
      </c>
      <c r="K58" s="152">
        <v>5</v>
      </c>
      <c r="L58" s="153" t="str">
        <f ca="1" t="shared" si="7"/>
        <v>TSG Eisenberg</v>
      </c>
      <c r="M58" s="158" t="s">
        <v>69</v>
      </c>
      <c r="N58" s="152">
        <v>4</v>
      </c>
      <c r="O58" s="153" t="str">
        <f ca="1" t="shared" si="8"/>
        <v>TSV Bayer Leverkusen</v>
      </c>
      <c r="P58" s="169"/>
      <c r="Q58" s="152">
        <v>34</v>
      </c>
      <c r="R58" s="157" t="s">
        <v>27</v>
      </c>
      <c r="S58" s="152">
        <v>31</v>
      </c>
      <c r="T58" s="170">
        <f t="shared" si="9"/>
        <v>2</v>
      </c>
      <c r="U58" s="157" t="s">
        <v>27</v>
      </c>
      <c r="V58" s="171">
        <f t="shared" si="10"/>
        <v>0</v>
      </c>
      <c r="W58" s="166"/>
      <c r="X58" s="157" t="s">
        <v>53</v>
      </c>
      <c r="Y58" s="157" t="s">
        <v>53</v>
      </c>
      <c r="Z58" s="144"/>
      <c r="AA58" s="145" t="s">
        <v>95</v>
      </c>
      <c r="AB58" s="145">
        <v>7</v>
      </c>
      <c r="AC58" s="145" t="s">
        <v>40</v>
      </c>
    </row>
    <row r="59" spans="2:29" ht="12.75">
      <c r="B59" s="152"/>
      <c r="C59" s="152"/>
      <c r="D59" s="152">
        <f t="shared" si="5"/>
        <v>134</v>
      </c>
      <c r="E59" s="152">
        <v>2</v>
      </c>
      <c r="F59" s="151" t="s">
        <v>69</v>
      </c>
      <c r="G59" s="152">
        <v>12</v>
      </c>
      <c r="H59" s="153" t="str">
        <f ca="1" t="shared" si="6"/>
        <v>SV Werder Bremen</v>
      </c>
      <c r="I59" s="157" t="s">
        <v>28</v>
      </c>
      <c r="J59" s="151" t="s">
        <v>69</v>
      </c>
      <c r="K59" s="152">
        <v>15</v>
      </c>
      <c r="L59" s="153" t="str">
        <f ca="1" t="shared" si="7"/>
        <v>TV Niederschelden</v>
      </c>
      <c r="M59" s="151" t="s">
        <v>69</v>
      </c>
      <c r="N59" s="152">
        <v>14</v>
      </c>
      <c r="O59" s="153" t="str">
        <f ca="1" t="shared" si="8"/>
        <v>TV Höheischweiler</v>
      </c>
      <c r="P59" s="169"/>
      <c r="Q59" s="152">
        <v>30</v>
      </c>
      <c r="R59" s="157" t="s">
        <v>27</v>
      </c>
      <c r="S59" s="152">
        <v>15</v>
      </c>
      <c r="T59" s="170">
        <f t="shared" si="9"/>
        <v>2</v>
      </c>
      <c r="U59" s="157" t="s">
        <v>27</v>
      </c>
      <c r="V59" s="171">
        <f t="shared" si="10"/>
        <v>0</v>
      </c>
      <c r="W59" s="166"/>
      <c r="X59" s="157" t="s">
        <v>53</v>
      </c>
      <c r="Y59" s="157" t="s">
        <v>53</v>
      </c>
      <c r="Z59" s="144"/>
      <c r="AA59" s="145" t="s">
        <v>95</v>
      </c>
      <c r="AB59" s="145">
        <v>7</v>
      </c>
      <c r="AC59" s="145" t="s">
        <v>40</v>
      </c>
    </row>
    <row r="60" spans="2:29" ht="12.75">
      <c r="B60" s="145"/>
      <c r="C60" s="150"/>
      <c r="D60" s="152">
        <f t="shared" si="5"/>
        <v>135</v>
      </c>
      <c r="E60" s="152">
        <v>3</v>
      </c>
      <c r="F60" s="158" t="s">
        <v>23</v>
      </c>
      <c r="G60" s="152">
        <v>2</v>
      </c>
      <c r="H60" s="153" t="str">
        <f ca="1" t="shared" si="6"/>
        <v>SF Ricklingen</v>
      </c>
      <c r="I60" s="157"/>
      <c r="J60" s="158" t="s">
        <v>23</v>
      </c>
      <c r="K60" s="152">
        <v>5</v>
      </c>
      <c r="L60" s="153" t="str">
        <f ca="1" t="shared" si="7"/>
        <v>TSV Krumbach</v>
      </c>
      <c r="M60" s="158" t="s">
        <v>23</v>
      </c>
      <c r="N60" s="152">
        <v>4</v>
      </c>
      <c r="O60" s="153" t="str">
        <f ca="1" t="shared" si="8"/>
        <v>TV Viersen</v>
      </c>
      <c r="Q60" s="152">
        <v>41</v>
      </c>
      <c r="R60" s="157" t="s">
        <v>27</v>
      </c>
      <c r="S60" s="152">
        <v>24</v>
      </c>
      <c r="T60" s="170">
        <f t="shared" si="9"/>
        <v>2</v>
      </c>
      <c r="U60" s="157" t="s">
        <v>27</v>
      </c>
      <c r="V60" s="171">
        <f t="shared" si="10"/>
        <v>0</v>
      </c>
      <c r="W60" s="166"/>
      <c r="X60" s="157" t="s">
        <v>53</v>
      </c>
      <c r="Y60" s="157" t="s">
        <v>53</v>
      </c>
      <c r="Z60" s="144"/>
      <c r="AA60" s="145" t="s">
        <v>95</v>
      </c>
      <c r="AB60" s="145">
        <v>8</v>
      </c>
      <c r="AC60" s="145" t="s">
        <v>40</v>
      </c>
    </row>
    <row r="61" spans="2:29" ht="12.75">
      <c r="B61" s="159"/>
      <c r="C61" s="159"/>
      <c r="D61" s="159">
        <f t="shared" si="5"/>
        <v>136</v>
      </c>
      <c r="E61" s="172">
        <v>4</v>
      </c>
      <c r="F61" s="160" t="s">
        <v>23</v>
      </c>
      <c r="G61" s="159">
        <v>12</v>
      </c>
      <c r="H61" s="161" t="str">
        <f ca="1" t="shared" si="6"/>
        <v>SV Werder Bremen</v>
      </c>
      <c r="I61" s="162" t="s">
        <v>28</v>
      </c>
      <c r="J61" s="160" t="s">
        <v>23</v>
      </c>
      <c r="K61" s="159">
        <v>15</v>
      </c>
      <c r="L61" s="161" t="str">
        <f ca="1" t="shared" si="7"/>
        <v>TuS Ferndorf</v>
      </c>
      <c r="M61" s="160" t="s">
        <v>23</v>
      </c>
      <c r="N61" s="159">
        <v>14</v>
      </c>
      <c r="O61" s="161" t="str">
        <f ca="1" t="shared" si="8"/>
        <v>VT Contwig</v>
      </c>
      <c r="P61" s="196"/>
      <c r="Q61" s="159">
        <v>38</v>
      </c>
      <c r="R61" s="162" t="s">
        <v>27</v>
      </c>
      <c r="S61" s="159">
        <v>35</v>
      </c>
      <c r="T61" s="164">
        <f t="shared" si="9"/>
        <v>2</v>
      </c>
      <c r="U61" s="162" t="s">
        <v>27</v>
      </c>
      <c r="V61" s="165">
        <f t="shared" si="10"/>
        <v>0</v>
      </c>
      <c r="W61" s="166"/>
      <c r="X61" s="162" t="s">
        <v>53</v>
      </c>
      <c r="Y61" s="162" t="s">
        <v>53</v>
      </c>
      <c r="Z61" s="144"/>
      <c r="AA61" s="145" t="s">
        <v>95</v>
      </c>
      <c r="AB61" s="145">
        <v>8</v>
      </c>
      <c r="AC61" s="145" t="s">
        <v>40</v>
      </c>
    </row>
    <row r="62" spans="1:29" ht="12.75">
      <c r="A62" s="145" t="s">
        <v>101</v>
      </c>
      <c r="B62" s="145">
        <f>+B58+1</f>
        <v>11</v>
      </c>
      <c r="C62" s="168">
        <f>+Daten!R14</f>
        <v>0.7361111111111116</v>
      </c>
      <c r="D62" s="152">
        <f>+D61+1</f>
        <v>137</v>
      </c>
      <c r="E62" s="152">
        <v>1</v>
      </c>
      <c r="F62" s="151" t="s">
        <v>69</v>
      </c>
      <c r="G62" s="152">
        <v>4</v>
      </c>
      <c r="H62" s="153" t="str">
        <f ca="1">IF(S58="","4. Gruppe L",INDIRECT(ADDRESS(MATCH(G62,$A$1:$A$19,0),MATCH(A62,$A$3:$AE$3,0))))</f>
        <v>TSG Eisenberg</v>
      </c>
      <c r="I62" s="157"/>
      <c r="J62" s="151" t="s">
        <v>69</v>
      </c>
      <c r="K62" s="152">
        <v>15</v>
      </c>
      <c r="L62" s="153" t="str">
        <f ca="1">IF(S58="","5. Gruppe M",INDIRECT(ADDRESS(MATCH(K62,$A$1:$A$19,0),MATCH(A62,$A$3:$AE$3,0))))</f>
        <v>TV Niederschelden</v>
      </c>
      <c r="M62" s="151" t="s">
        <v>69</v>
      </c>
      <c r="N62" s="152">
        <v>3</v>
      </c>
      <c r="O62" s="153" t="str">
        <f ca="1">IF(S58="","3. Gruppe M",INDIRECT(ADDRESS(MATCH(N62,$A$1:$A$19,0),MATCH(A62,$A$3:$AE$3,0))))</f>
        <v>TV Bremen 1875</v>
      </c>
      <c r="P62" s="147"/>
      <c r="Q62" s="152">
        <v>30</v>
      </c>
      <c r="R62" s="157" t="s">
        <v>27</v>
      </c>
      <c r="S62" s="152">
        <v>15</v>
      </c>
      <c r="T62" s="170">
        <f aca="true" t="shared" si="11" ref="T62:T69">IF(Q62="","",IF(Q62&gt;S62,2,IF(Q62&lt;S62,0,1)))</f>
        <v>2</v>
      </c>
      <c r="U62" s="157" t="s">
        <v>27</v>
      </c>
      <c r="V62" s="171">
        <f aca="true" t="shared" si="12" ref="V62:V69">IF(S62="","",IF(S62&gt;Q62,2,IF(S62&lt;Q62,0,1)))</f>
        <v>0</v>
      </c>
      <c r="W62" s="166"/>
      <c r="X62" s="157" t="s">
        <v>53</v>
      </c>
      <c r="Y62" s="157" t="s">
        <v>53</v>
      </c>
      <c r="Z62" s="144"/>
      <c r="AA62" s="145" t="s">
        <v>110</v>
      </c>
      <c r="AB62" s="145">
        <v>9</v>
      </c>
      <c r="AC62" s="145" t="s">
        <v>108</v>
      </c>
    </row>
    <row r="63" spans="1:29" ht="12.75">
      <c r="A63" s="145" t="s">
        <v>101</v>
      </c>
      <c r="B63" s="152"/>
      <c r="C63" s="152"/>
      <c r="D63" s="152">
        <f>+D62+1</f>
        <v>138</v>
      </c>
      <c r="E63" s="152">
        <v>2</v>
      </c>
      <c r="F63" s="151" t="s">
        <v>69</v>
      </c>
      <c r="G63" s="152">
        <v>14</v>
      </c>
      <c r="H63" s="153" t="str">
        <f ca="1">IF(S58="","4. Gruppe M",INDIRECT(ADDRESS(MATCH(G63,$A$1:$A$19,0),MATCH(A63,$A$3:$AE$3,0))))</f>
        <v>TV Höheischweiler</v>
      </c>
      <c r="I63" s="157"/>
      <c r="J63" s="151" t="s">
        <v>69</v>
      </c>
      <c r="K63" s="152">
        <v>5</v>
      </c>
      <c r="L63" s="153" t="str">
        <f ca="1">IF(S58="","5. Gruppe L",INDIRECT(ADDRESS(MATCH(K63,$A$1:$A$19,0),MATCH(A63,$A$3:$AE$3,0))))</f>
        <v>VfL Oldenburg</v>
      </c>
      <c r="M63" s="151" t="s">
        <v>69</v>
      </c>
      <c r="N63" s="152">
        <v>13</v>
      </c>
      <c r="O63" s="153" t="str">
        <f ca="1">IF(S58="","3. Gruppe L",INDIRECT(ADDRESS(MATCH(N63,$A$1:$A$19,0),MATCH(A63,$A$3:$AE$3,0))))</f>
        <v>TSV Burgdorf</v>
      </c>
      <c r="P63" s="169"/>
      <c r="Q63" s="152">
        <v>29</v>
      </c>
      <c r="R63" s="157" t="s">
        <v>27</v>
      </c>
      <c r="S63" s="152">
        <v>44</v>
      </c>
      <c r="T63" s="170">
        <f t="shared" si="11"/>
        <v>0</v>
      </c>
      <c r="U63" s="157" t="s">
        <v>27</v>
      </c>
      <c r="V63" s="171">
        <f t="shared" si="12"/>
        <v>2</v>
      </c>
      <c r="W63" s="166"/>
      <c r="X63" s="157" t="s">
        <v>53</v>
      </c>
      <c r="Y63" s="157" t="s">
        <v>53</v>
      </c>
      <c r="Z63" s="144"/>
      <c r="AA63" s="145" t="s">
        <v>110</v>
      </c>
      <c r="AB63" s="145">
        <v>9</v>
      </c>
      <c r="AC63" s="145" t="s">
        <v>108</v>
      </c>
    </row>
    <row r="64" spans="1:29" ht="12.75">
      <c r="A64" s="145" t="s">
        <v>106</v>
      </c>
      <c r="B64" s="145"/>
      <c r="C64" s="150"/>
      <c r="D64" s="152">
        <f t="shared" si="5"/>
        <v>139</v>
      </c>
      <c r="E64" s="152">
        <v>3</v>
      </c>
      <c r="F64" s="158" t="s">
        <v>23</v>
      </c>
      <c r="G64" s="152">
        <v>4</v>
      </c>
      <c r="H64" s="153" t="str">
        <f ca="1">IF(S60="","4. Gruppe A",INDIRECT(ADDRESS(MATCH(G64,$A$1:$A$19,0),MATCH(A64,$A$3:$AE$3,0))))</f>
        <v>Haaner TB</v>
      </c>
      <c r="I64" s="157"/>
      <c r="J64" s="158" t="s">
        <v>23</v>
      </c>
      <c r="K64" s="152">
        <v>15</v>
      </c>
      <c r="L64" s="153" t="str">
        <f ca="1">IF(S60="","5. Gruppe B",INDIRECT(ADDRESS(MATCH(K64,$A$1:$A$19,0),MATCH(A64,$A$3:$AE$3,0))))</f>
        <v>TV Edingen</v>
      </c>
      <c r="M64" s="158" t="s">
        <v>23</v>
      </c>
      <c r="N64" s="152">
        <v>3</v>
      </c>
      <c r="O64" s="153" t="str">
        <f ca="1">IF(S61="","3. Gruppe D",INDIRECT(ADDRESS(MATCH(N64,$A$1:$A$19,0),MATCH(A64,$A$3:$AE$3,0))))</f>
        <v>TSV Krumbach</v>
      </c>
      <c r="P64" s="147"/>
      <c r="Q64" s="152">
        <v>38</v>
      </c>
      <c r="R64" s="157" t="s">
        <v>27</v>
      </c>
      <c r="S64" s="152">
        <v>25</v>
      </c>
      <c r="T64" s="170">
        <f t="shared" si="11"/>
        <v>2</v>
      </c>
      <c r="U64" s="157" t="s">
        <v>27</v>
      </c>
      <c r="V64" s="171">
        <f t="shared" si="12"/>
        <v>0</v>
      </c>
      <c r="W64" s="166"/>
      <c r="X64" s="157" t="s">
        <v>53</v>
      </c>
      <c r="Y64" s="157" t="s">
        <v>53</v>
      </c>
      <c r="Z64" s="144"/>
      <c r="AA64" s="145" t="s">
        <v>110</v>
      </c>
      <c r="AB64" s="145">
        <v>10</v>
      </c>
      <c r="AC64" s="145" t="s">
        <v>109</v>
      </c>
    </row>
    <row r="65" spans="1:29" ht="12.75">
      <c r="A65" s="145" t="s">
        <v>106</v>
      </c>
      <c r="B65" s="159"/>
      <c r="C65" s="159"/>
      <c r="D65" s="159">
        <f>+D64+1</f>
        <v>140</v>
      </c>
      <c r="E65" s="172">
        <v>4</v>
      </c>
      <c r="F65" s="160" t="s">
        <v>23</v>
      </c>
      <c r="G65" s="159">
        <v>14</v>
      </c>
      <c r="H65" s="161" t="str">
        <f ca="1">IF(S60="","4. Gruppe B",INDIRECT(ADDRESS(MATCH(G65,$A$1:$A$19,0),MATCH(A65,$A$3:$AE$3,0))))</f>
        <v>TSV Kirchdorf</v>
      </c>
      <c r="I65" s="162" t="s">
        <v>28</v>
      </c>
      <c r="J65" s="160" t="s">
        <v>23</v>
      </c>
      <c r="K65" s="159">
        <v>5</v>
      </c>
      <c r="L65" s="161" t="str">
        <f ca="1">IF(S60="","5. Gruppe A",INDIRECT(ADDRESS(MATCH(K65,$A$1:$A$19,0),MATCH(A65,$A$3:$AE$3,0))))</f>
        <v>SC Wentorf</v>
      </c>
      <c r="M65" s="160" t="s">
        <v>23</v>
      </c>
      <c r="N65" s="159">
        <v>13</v>
      </c>
      <c r="O65" s="161" t="str">
        <f ca="1">IF(S60="","3. Gruppe C",INDIRECT(ADDRESS(MATCH(N65,$A$1:$A$19,0),MATCH(A65,$A$3:$AE$3,0))))</f>
        <v>VT Contwig</v>
      </c>
      <c r="P65" s="163"/>
      <c r="Q65" s="159">
        <v>41</v>
      </c>
      <c r="R65" s="162" t="s">
        <v>27</v>
      </c>
      <c r="S65" s="159">
        <v>36</v>
      </c>
      <c r="T65" s="164">
        <f t="shared" si="11"/>
        <v>2</v>
      </c>
      <c r="U65" s="162" t="s">
        <v>27</v>
      </c>
      <c r="V65" s="165">
        <f t="shared" si="12"/>
        <v>0</v>
      </c>
      <c r="W65" s="166"/>
      <c r="X65" s="162" t="s">
        <v>53</v>
      </c>
      <c r="Y65" s="162" t="s">
        <v>53</v>
      </c>
      <c r="Z65" s="144"/>
      <c r="AA65" s="145" t="s">
        <v>110</v>
      </c>
      <c r="AB65" s="145">
        <v>10</v>
      </c>
      <c r="AC65" s="145" t="s">
        <v>109</v>
      </c>
    </row>
    <row r="66" spans="1:29" ht="12.75">
      <c r="A66" s="145" t="s">
        <v>101</v>
      </c>
      <c r="B66" s="145">
        <f>+B62+1</f>
        <v>12</v>
      </c>
      <c r="C66" s="168">
        <f>+Daten!R15</f>
        <v>0.7534722222222228</v>
      </c>
      <c r="D66" s="152">
        <f>+D65+1</f>
        <v>141</v>
      </c>
      <c r="E66" s="152">
        <v>1</v>
      </c>
      <c r="F66" s="151" t="s">
        <v>69</v>
      </c>
      <c r="G66" s="197"/>
      <c r="H66" s="153" t="str">
        <f>IF(T62="","Platz 9 / V. "&amp;D62,IF(T62=0,H62,L62))</f>
        <v>TV Niederschelden</v>
      </c>
      <c r="I66" s="157" t="s">
        <v>28</v>
      </c>
      <c r="J66" s="151" t="s">
        <v>69</v>
      </c>
      <c r="K66" s="152"/>
      <c r="L66" s="153" t="str">
        <f>IF(T63="","V. "&amp;D63,IF(T63=0,H63,L63))</f>
        <v>TV Höheischweiler</v>
      </c>
      <c r="M66" s="151" t="s">
        <v>69</v>
      </c>
      <c r="N66" s="152">
        <v>12</v>
      </c>
      <c r="O66" s="153" t="str">
        <f ca="1">IF(S58="","2. Gruppe M",INDIRECT(ADDRESS(MATCH(N66,$A$1:$A$19,0),MATCH(A66,$A$3:$AE$3,0))))</f>
        <v>TV Cramberg</v>
      </c>
      <c r="P66" s="147"/>
      <c r="Q66" s="152">
        <v>15</v>
      </c>
      <c r="R66" s="157" t="s">
        <v>27</v>
      </c>
      <c r="S66" s="152">
        <v>30</v>
      </c>
      <c r="T66" s="170">
        <f t="shared" si="11"/>
        <v>0</v>
      </c>
      <c r="U66" s="157" t="s">
        <v>27</v>
      </c>
      <c r="V66" s="171">
        <f t="shared" si="12"/>
        <v>2</v>
      </c>
      <c r="W66" s="166"/>
      <c r="X66" s="157" t="s">
        <v>53</v>
      </c>
      <c r="Y66" s="157" t="s">
        <v>53</v>
      </c>
      <c r="Z66" s="144"/>
      <c r="AA66" s="145" t="s">
        <v>111</v>
      </c>
      <c r="AB66" s="145">
        <v>1</v>
      </c>
      <c r="AC66" s="145" t="s">
        <v>91</v>
      </c>
    </row>
    <row r="67" spans="1:29" ht="12.75">
      <c r="A67" s="145" t="s">
        <v>101</v>
      </c>
      <c r="B67" s="152"/>
      <c r="C67" s="152"/>
      <c r="D67" s="152">
        <f>+D66+1</f>
        <v>142</v>
      </c>
      <c r="E67" s="152">
        <v>2</v>
      </c>
      <c r="F67" s="151" t="s">
        <v>69</v>
      </c>
      <c r="G67" s="152"/>
      <c r="H67" s="153" t="str">
        <f>IF(T62="","Platz 7 / S. "&amp;D62,IF(T62=2,H62,L62))</f>
        <v>TSG Eisenberg</v>
      </c>
      <c r="I67" s="157" t="s">
        <v>28</v>
      </c>
      <c r="J67" s="151" t="s">
        <v>69</v>
      </c>
      <c r="K67" s="152"/>
      <c r="L67" s="153" t="str">
        <f>IF(T63="","S. "&amp;D63,IF(T63=2,H63,L63))</f>
        <v>VfL Oldenburg</v>
      </c>
      <c r="M67" s="151" t="s">
        <v>69</v>
      </c>
      <c r="N67" s="152">
        <v>2</v>
      </c>
      <c r="O67" s="153" t="str">
        <f ca="1">IF(S58="","2. Gruppe L",INDIRECT(ADDRESS(MATCH(N67,$A$1:$A$19,0),MATCH(A67,$A$3:$AE$3,0))))</f>
        <v>TSV Bayer Leverkusen</v>
      </c>
      <c r="P67" s="169"/>
      <c r="Q67" s="152">
        <v>38</v>
      </c>
      <c r="R67" s="157" t="s">
        <v>27</v>
      </c>
      <c r="S67" s="152">
        <v>37</v>
      </c>
      <c r="T67" s="170">
        <f t="shared" si="11"/>
        <v>2</v>
      </c>
      <c r="U67" s="157" t="s">
        <v>27</v>
      </c>
      <c r="V67" s="171">
        <f t="shared" si="12"/>
        <v>0</v>
      </c>
      <c r="W67" s="166"/>
      <c r="X67" s="157" t="s">
        <v>53</v>
      </c>
      <c r="Y67" s="157" t="s">
        <v>53</v>
      </c>
      <c r="Z67" s="144"/>
      <c r="AA67" s="145" t="s">
        <v>111</v>
      </c>
      <c r="AB67" s="145">
        <v>1</v>
      </c>
      <c r="AC67" s="145" t="s">
        <v>92</v>
      </c>
    </row>
    <row r="68" spans="1:29" ht="12.75">
      <c r="A68" s="145" t="s">
        <v>106</v>
      </c>
      <c r="B68" s="145"/>
      <c r="C68" s="168"/>
      <c r="D68" s="152">
        <f t="shared" si="5"/>
        <v>143</v>
      </c>
      <c r="E68" s="152">
        <v>3</v>
      </c>
      <c r="F68" s="158" t="s">
        <v>23</v>
      </c>
      <c r="G68" s="152"/>
      <c r="H68" s="153" t="str">
        <f>IF(T64="","Platz 9 / V. "&amp;D64,IF(T64=0,H64,L64))</f>
        <v>TV Edingen</v>
      </c>
      <c r="I68" s="157" t="s">
        <v>28</v>
      </c>
      <c r="J68" s="158" t="s">
        <v>23</v>
      </c>
      <c r="K68" s="152"/>
      <c r="L68" s="153" t="str">
        <f>IF(T65="","V. "&amp;D65,IF(T65=0,H65,L65))</f>
        <v>SC Wentorf</v>
      </c>
      <c r="M68" s="158" t="s">
        <v>23</v>
      </c>
      <c r="N68" s="152">
        <v>12</v>
      </c>
      <c r="O68" s="153" t="str">
        <f ca="1">IF($S$60="","2. Gruppe D",INDIRECT(ADDRESS(MATCH(N68,$A$1:$A$19,0),MATCH(A68,$A$3:$AE$3,0))))</f>
        <v>TuS Ferndorf</v>
      </c>
      <c r="P68" s="169"/>
      <c r="Q68" s="152">
        <v>54</v>
      </c>
      <c r="R68" s="157" t="s">
        <v>27</v>
      </c>
      <c r="S68" s="152">
        <v>57</v>
      </c>
      <c r="T68" s="170">
        <f t="shared" si="11"/>
        <v>0</v>
      </c>
      <c r="U68" s="157" t="s">
        <v>27</v>
      </c>
      <c r="V68" s="171">
        <f t="shared" si="12"/>
        <v>2</v>
      </c>
      <c r="W68" s="166"/>
      <c r="X68" s="157" t="s">
        <v>53</v>
      </c>
      <c r="Y68" s="157" t="s">
        <v>53</v>
      </c>
      <c r="Z68" s="144"/>
      <c r="AA68" s="145" t="s">
        <v>111</v>
      </c>
      <c r="AB68" s="145">
        <v>1</v>
      </c>
      <c r="AC68" s="145" t="s">
        <v>91</v>
      </c>
    </row>
    <row r="69" spans="1:29" ht="12.75">
      <c r="A69" s="145" t="s">
        <v>106</v>
      </c>
      <c r="B69" s="159"/>
      <c r="C69" s="159"/>
      <c r="D69" s="159">
        <f t="shared" si="5"/>
        <v>144</v>
      </c>
      <c r="E69" s="172">
        <v>4</v>
      </c>
      <c r="F69" s="160" t="s">
        <v>23</v>
      </c>
      <c r="G69" s="159"/>
      <c r="H69" s="161" t="str">
        <f>IF(T64="","Platz 7 / S. "&amp;D64,IF(T64=2,H64,L64))</f>
        <v>Haaner TB</v>
      </c>
      <c r="I69" s="162" t="s">
        <v>28</v>
      </c>
      <c r="J69" s="160" t="s">
        <v>23</v>
      </c>
      <c r="K69" s="159"/>
      <c r="L69" s="161" t="str">
        <f>IF(T65="","S. "&amp;D65,IF(T65=2,H65,L65))</f>
        <v>TSV Kirchdorf</v>
      </c>
      <c r="M69" s="160" t="s">
        <v>23</v>
      </c>
      <c r="N69" s="159">
        <v>2</v>
      </c>
      <c r="O69" s="161" t="str">
        <f ca="1">IF($S$61="","2. Gruppe C",INDIRECT(ADDRESS(MATCH(N69,$A$1:$A$19,0),MATCH(A69,$A$3:$AE$3,0))))</f>
        <v>SF Ricklingen</v>
      </c>
      <c r="P69" s="163"/>
      <c r="Q69" s="159">
        <v>34</v>
      </c>
      <c r="R69" s="162" t="s">
        <v>27</v>
      </c>
      <c r="S69" s="159">
        <v>36</v>
      </c>
      <c r="T69" s="164">
        <f t="shared" si="11"/>
        <v>0</v>
      </c>
      <c r="U69" s="162" t="s">
        <v>27</v>
      </c>
      <c r="V69" s="165">
        <f t="shared" si="12"/>
        <v>2</v>
      </c>
      <c r="W69" s="166"/>
      <c r="X69" s="162" t="s">
        <v>53</v>
      </c>
      <c r="Y69" s="162" t="s">
        <v>53</v>
      </c>
      <c r="Z69" s="144"/>
      <c r="AA69" s="145" t="s">
        <v>111</v>
      </c>
      <c r="AB69" s="145">
        <v>1</v>
      </c>
      <c r="AC69" s="145" t="s">
        <v>92</v>
      </c>
    </row>
    <row r="70" ht="12.75">
      <c r="AA70" s="145"/>
    </row>
    <row r="71" ht="12.75">
      <c r="AA71" s="145"/>
    </row>
    <row r="72" ht="12.75">
      <c r="AA72" s="145"/>
    </row>
    <row r="73" ht="12.75">
      <c r="AA73" s="145"/>
    </row>
  </sheetData>
  <printOptions horizontalCentered="1" verticalCentered="1"/>
  <pageMargins left="0.3937007874015748" right="0.15748031496062992" top="0.1968503937007874" bottom="0.3937007874015748" header="0.7086614173228347" footer="0.5118110236220472"/>
  <pageSetup horizontalDpi="300" verticalDpi="300" orientation="portrait" paperSize="9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Prellballmeisterschaften der Senioren</dc:title>
  <dc:subject>DSENM 2006</dc:subject>
  <dc:creator>Stefan Reichelt</dc:creator>
  <cp:keywords/>
  <dc:description>vorläufiger Spielplan
10 Mannschaften 8 Felder
Haupt=F40, M40, F30, M30
Neben= M50, M60
</dc:description>
  <cp:lastModifiedBy>A. Nowark</cp:lastModifiedBy>
  <cp:lastPrinted>2006-02-19T17:23:53Z</cp:lastPrinted>
  <dcterms:created xsi:type="dcterms:W3CDTF">1998-03-17T12:23:14Z</dcterms:created>
  <dcterms:modified xsi:type="dcterms:W3CDTF">2006-05-03T20:08:56Z</dcterms:modified>
  <cp:category/>
  <cp:version/>
  <cp:contentType/>
  <cp:contentStatus/>
</cp:coreProperties>
</file>